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1.xml" ContentType="application/vnd.openxmlformats-officedocument.themeOverride+xml"/>
  <Override PartName="/xl/drawings/drawing5.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heme/themeOverride2.xml" ContentType="application/vnd.openxmlformats-officedocument.themeOverride+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theme/themeOverride3.xml" ContentType="application/vnd.openxmlformats-officedocument.themeOverride+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J:\DAE_ECO\CONJONCTURE\Index TP - Surcoûts\Baromètre INDEX TP\"/>
    </mc:Choice>
  </mc:AlternateContent>
  <xr:revisionPtr revIDLastSave="0" documentId="13_ncr:1_{D91A2064-35B4-4B9B-A318-7D9F55503D86}" xr6:coauthVersionLast="47" xr6:coauthVersionMax="47" xr10:uidLastSave="{00000000-0000-0000-0000-000000000000}"/>
  <bookViews>
    <workbookView xWindow="-120" yWindow="-120" windowWidth="29040" windowHeight="15720" tabRatio="641" firstSheet="16" activeTab="16" xr2:uid="{7E976532-64F5-42FA-9523-F4365B3C21F7}"/>
  </bookViews>
  <sheets>
    <sheet name="A MODIFIER" sheetId="15" state="hidden" r:id="rId1"/>
    <sheet name="INDEX" sheetId="1" state="hidden" r:id="rId2"/>
    <sheet name="INDICES PRIX" sheetId="6" state="hidden" r:id="rId3"/>
    <sheet name="GAZOLE ROUTIER HTT" sheetId="8" state="hidden" r:id="rId4"/>
    <sheet name="FIOUL LOURD" sheetId="7" state="hidden" r:id="rId5"/>
    <sheet name="NOMS INDEX" sheetId="14" state="hidden" r:id="rId6"/>
    <sheet name="COMPOSITION INDEX" sheetId="17" state="hidden" r:id="rId7"/>
    <sheet name="DONNEES CUMULS DEPUIS JANVIER" sheetId="16" state="hidden" r:id="rId8"/>
    <sheet name="DONNEES 3-6 MOIS" sheetId="19" state="hidden" r:id="rId9"/>
    <sheet name="DONNEES DATE A DATE" sheetId="21" state="hidden" r:id="rId10"/>
    <sheet name="CUMULS INDEX" sheetId="26" state="hidden" r:id="rId11"/>
    <sheet name="CUMULS INDICES" sheetId="27" state="hidden" r:id="rId12"/>
    <sheet name="DEPUIS JANVIER" sheetId="3" state="hidden" r:id="rId13"/>
    <sheet name="3-6 MOIS GLISSANTS" sheetId="4" state="hidden" r:id="rId14"/>
    <sheet name="DATE A DATE " sheetId="23" state="hidden" r:id="rId15"/>
    <sheet name="CALCULS DERNIERES EVOL INDICES" sheetId="32" state="hidden" r:id="rId16"/>
    <sheet name="NOTICE D'UTILISATION BAROMETRE" sheetId="30" r:id="rId17"/>
    <sheet name="EVOL INDEX DEPUIS JANVIER" sheetId="2" r:id="rId18"/>
    <sheet name="EVOL INDEX 3-6 MOIS GLISSANTS" sheetId="5" r:id="rId19"/>
    <sheet name="RESULTATS DEPUIS JANVIER" sheetId="13" state="hidden" r:id="rId20"/>
    <sheet name="RESULTATS 3-6 MOIS GLISSANTS" sheetId="18" r:id="rId21"/>
    <sheet name="EVOL INDICES DEPUIS JANVIER" sheetId="10" r:id="rId22"/>
    <sheet name="EVOL INDICES 3-6 MOIS GLISSANTS" sheetId="12" r:id="rId23"/>
    <sheet name="NOTICE OUTIL DATE" sheetId="29" r:id="rId24"/>
    <sheet name="RESULTATS DATE A DATE" sheetId="20" r:id="rId25"/>
    <sheet name="DERNIERES EVOL INDICES" sheetId="31" r:id="rId26"/>
    <sheet name="LIENS" sheetId="28" r:id="rId27"/>
  </sheets>
  <definedNames>
    <definedName name="_xlnm._FilterDatabase" localSheetId="9" hidden="1">'DONNEES DATE A DATE'!$B$14:$H$102</definedName>
    <definedName name="_xlnm._FilterDatabase" localSheetId="2" hidden="1">'INDICES PRIX'!$M$63:$M$117</definedName>
    <definedName name="compo_index">'COMPOSITION INDEX'!$A$1:$AR$27</definedName>
    <definedName name="compomax" localSheetId="7">'DONNEES CUMULS DEPUIS JANVIER'!$G$14</definedName>
    <definedName name="compomax2" localSheetId="7">'DONNEES CUMULS DEPUIS JANVIER'!$H$14</definedName>
    <definedName name="compomax3">'DONNEES 3-6 MOIS'!$G$14</definedName>
    <definedName name="compomax4">'DONNEES 3-6 MOIS'!$H$14</definedName>
    <definedName name="DATE1" comment="Date début de période (résultats date à date). ">'RESULTATS DATE A DATE'!$O$3</definedName>
    <definedName name="DATE2" comment="Date début de période (résultats date à date). ">'RESULTATS DATE A DATE'!$O$4</definedName>
    <definedName name="DATE3">'A MODIFIER'!$C$4</definedName>
    <definedName name="DATE4">'A MODIFIER'!$G$4</definedName>
    <definedName name="INDEX">INDEX!$A$1:$Y$180</definedName>
    <definedName name="index_choisi">'DONNEES DATE A DATE'!$C$1</definedName>
    <definedName name="INDEX2">'CUMULS INDEX'!$A$4:$Y$4</definedName>
    <definedName name="indice_compo_max">'DONNEES DATE A DATE'!$G$14</definedName>
    <definedName name="indice_compo_max2">'DONNEES DATE A DATE'!$H$14</definedName>
    <definedName name="INDICES">'INDICES PRIX'!$A$1:$AN$120</definedName>
    <definedName name="nomsindex">'NOMS INDEX'!$A$1:$A$24</definedName>
    <definedName name="nomsindextp">'NOMS INDEX'!$A$2:$A$24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09" i="6" l="1"/>
  <c r="A143" i="1"/>
  <c r="A108" i="6"/>
  <c r="A142" i="1"/>
  <c r="C105" i="8"/>
  <c r="A105" i="8"/>
  <c r="C103" i="8"/>
  <c r="C104" i="8"/>
  <c r="A103" i="8"/>
  <c r="A104" i="8" s="1"/>
  <c r="B14" i="28"/>
  <c r="A141" i="1"/>
  <c r="A101" i="6" l="1"/>
  <c r="A102" i="6" s="1"/>
  <c r="A103" i="6" s="1"/>
  <c r="A104" i="6" s="1"/>
  <c r="A105" i="6" s="1"/>
  <c r="A106" i="6" s="1"/>
  <c r="A107" i="6" s="1"/>
  <c r="A17" i="15"/>
  <c r="A140" i="1" l="1"/>
  <c r="A139" i="1"/>
  <c r="A101" i="8"/>
  <c r="A102" i="8" s="1"/>
  <c r="C101" i="8"/>
  <c r="C102" i="8"/>
  <c r="A138" i="1"/>
  <c r="C100" i="8"/>
  <c r="A100" i="8"/>
  <c r="A137" i="1"/>
  <c r="A136" i="1" l="1"/>
  <c r="C98" i="8"/>
  <c r="C99" i="8"/>
  <c r="A98" i="8"/>
  <c r="A99" i="8"/>
  <c r="A135" i="1"/>
  <c r="A97" i="8"/>
  <c r="A134" i="1"/>
  <c r="A96" i="8"/>
  <c r="C96" i="8"/>
  <c r="C97" i="8" s="1"/>
  <c r="A95" i="8"/>
  <c r="A133" i="1"/>
  <c r="C95" i="8"/>
  <c r="A132" i="1" l="1"/>
  <c r="C94" i="8"/>
  <c r="A131" i="1"/>
  <c r="A130" i="1" l="1"/>
  <c r="A129" i="1"/>
  <c r="A128" i="1"/>
  <c r="A127" i="1"/>
  <c r="X3" i="1" l="1"/>
  <c r="W3" i="1"/>
  <c r="I3" i="1"/>
  <c r="U3" i="1"/>
  <c r="T3" i="1"/>
  <c r="H3" i="1" l="1"/>
  <c r="D3" i="1"/>
  <c r="P3" i="1"/>
  <c r="G3" i="1"/>
  <c r="A8" i="30" l="1"/>
  <c r="D87" i="4" a="1"/>
  <c r="D87" i="4" s="1"/>
  <c r="B26" i="28" l="1"/>
  <c r="B25" i="28"/>
  <c r="B24" i="28"/>
  <c r="B23" i="28"/>
  <c r="B22" i="28"/>
  <c r="B21" i="28"/>
  <c r="B20" i="28"/>
  <c r="B19" i="28"/>
  <c r="A8" i="29"/>
  <c r="G10" i="13"/>
  <c r="B12" i="28"/>
  <c r="B10" i="28"/>
  <c r="B8" i="28"/>
  <c r="B6" i="28"/>
  <c r="B3" i="28"/>
  <c r="E38" i="28"/>
  <c r="E33" i="28"/>
  <c r="E32" i="28"/>
  <c r="E31" i="28"/>
  <c r="E27" i="28"/>
  <c r="E23" i="28"/>
  <c r="E21" i="28"/>
  <c r="E15" i="28"/>
  <c r="E11" i="28"/>
  <c r="E9" i="28"/>
  <c r="E3" i="28"/>
  <c r="F15" i="16"/>
  <c r="D26" i="13"/>
  <c r="D25" i="13"/>
  <c r="D24" i="13"/>
  <c r="D23" i="13"/>
  <c r="D22" i="13"/>
  <c r="D21" i="13"/>
  <c r="F4" i="13"/>
  <c r="D26" i="20"/>
  <c r="D25" i="20"/>
  <c r="D24" i="20"/>
  <c r="D23" i="20"/>
  <c r="D22" i="20"/>
  <c r="D21" i="20"/>
  <c r="D3" i="20"/>
  <c r="O3" i="1" l="1"/>
  <c r="K3" i="1"/>
  <c r="J3" i="1"/>
  <c r="N3" i="1"/>
  <c r="Q3" i="1"/>
  <c r="R3" i="1"/>
  <c r="S3" i="1"/>
  <c r="V3" i="1"/>
  <c r="Y3" i="1"/>
  <c r="F4" i="18" l="1"/>
  <c r="D26" i="18"/>
  <c r="D25" i="18"/>
  <c r="D24" i="18"/>
  <c r="D23" i="18"/>
  <c r="D22" i="18"/>
  <c r="D21" i="18"/>
  <c r="L15" i="21" a="1"/>
  <c r="L15" i="21" s="1"/>
  <c r="K15" i="19" a="1"/>
  <c r="K15" i="19" s="1"/>
  <c r="K15" i="16" a="1"/>
  <c r="K15" i="16" s="1"/>
  <c r="C27" i="17" l="1"/>
  <c r="C20" i="17" l="1"/>
  <c r="C19" i="17"/>
  <c r="C1" i="16"/>
  <c r="C2" i="16" s="1"/>
  <c r="C13" i="17"/>
  <c r="A29" i="18"/>
  <c r="E3" i="1"/>
  <c r="G12" i="20"/>
  <c r="G12" i="18"/>
  <c r="H1" i="8" l="1"/>
  <c r="E1" i="7"/>
  <c r="E6" i="28"/>
  <c r="I31" i="20"/>
  <c r="B4" i="28" l="1"/>
  <c r="B18" i="28"/>
  <c r="B17" i="28"/>
  <c r="B13" i="28"/>
  <c r="B9" i="28"/>
  <c r="B7" i="28"/>
  <c r="B5" i="28"/>
  <c r="A16" i="19"/>
  <c r="C3" i="1"/>
  <c r="F3" i="1"/>
  <c r="L3" i="1"/>
  <c r="M3" i="1"/>
  <c r="B3" i="1"/>
  <c r="A5" i="1"/>
  <c r="A6" i="1" l="1"/>
  <c r="A7" i="1" s="1"/>
  <c r="A8" i="1" s="1"/>
  <c r="A9" i="1" s="1"/>
  <c r="A10" i="1" s="1"/>
  <c r="A11" i="1" s="1"/>
  <c r="A12" i="1" s="1"/>
  <c r="A13" i="1" s="1"/>
  <c r="A14" i="1" s="1"/>
  <c r="A15" i="1" s="1"/>
  <c r="A16" i="1" s="1"/>
  <c r="A17" i="1" s="1"/>
  <c r="A18" i="1" s="1"/>
  <c r="A19" i="1" s="1"/>
  <c r="A20" i="1" s="1"/>
  <c r="A21" i="1" s="1"/>
  <c r="A22" i="1" s="1"/>
  <c r="A23" i="1" s="1"/>
  <c r="A17" i="19"/>
  <c r="B16" i="28"/>
  <c r="B15" i="28"/>
  <c r="A14" i="30"/>
  <c r="B87" i="27"/>
  <c r="D61" i="31"/>
  <c r="C61" i="31"/>
  <c r="E18" i="15"/>
  <c r="A159" i="31" s="1"/>
  <c r="E17" i="15"/>
  <c r="A158" i="31" s="1"/>
  <c r="E16" i="15"/>
  <c r="E15" i="15"/>
  <c r="C153" i="32"/>
  <c r="C152" i="32"/>
  <c r="C51" i="32"/>
  <c r="C50" i="32"/>
  <c r="M7" i="32"/>
  <c r="L7" i="32"/>
  <c r="E7" i="32"/>
  <c r="D7" i="32"/>
  <c r="D111" i="31"/>
  <c r="C111" i="31"/>
  <c r="M108" i="32"/>
  <c r="L108" i="32"/>
  <c r="E108" i="32"/>
  <c r="D108" i="32"/>
  <c r="E10" i="15"/>
  <c r="A59" i="31" s="1"/>
  <c r="E9" i="15"/>
  <c r="A58" i="31" s="1"/>
  <c r="B103" i="27"/>
  <c r="B104" i="27"/>
  <c r="B134" i="27"/>
  <c r="B119" i="27"/>
  <c r="B55" i="27"/>
  <c r="B71" i="27"/>
  <c r="E12" i="15"/>
  <c r="E11" i="15"/>
  <c r="E8" i="15"/>
  <c r="A109" i="31" s="1"/>
  <c r="E7" i="15"/>
  <c r="E6" i="15"/>
  <c r="A4" i="31" s="1"/>
  <c r="E5" i="15"/>
  <c r="F4" i="15"/>
  <c r="A3" i="31" l="1"/>
  <c r="A3" i="10" a="1"/>
  <c r="A3" i="10" s="1"/>
  <c r="A108" i="31"/>
  <c r="A3" i="12" a="1"/>
  <c r="A3" i="12" s="1"/>
  <c r="A157" i="32"/>
  <c r="A210" i="32"/>
  <c r="A205" i="31"/>
  <c r="A156" i="31"/>
  <c r="C161" i="31"/>
  <c r="C204" i="32"/>
  <c r="D160" i="32"/>
  <c r="D161" i="31"/>
  <c r="C205" i="32"/>
  <c r="E160" i="32"/>
  <c r="A18" i="19"/>
  <c r="A53" i="32"/>
  <c r="A56" i="31"/>
  <c r="A1" i="31"/>
  <c r="C101" i="32"/>
  <c r="M56" i="32"/>
  <c r="D10" i="31"/>
  <c r="C100" i="32"/>
  <c r="L56" i="32"/>
  <c r="C10" i="31"/>
  <c r="A23" i="29"/>
  <c r="A19" i="19" l="1"/>
  <c r="A8" i="15"/>
  <c r="A7" i="15"/>
  <c r="A12" i="30"/>
  <c r="E4" i="28"/>
  <c r="E5" i="28"/>
  <c r="E7" i="28"/>
  <c r="E8" i="28"/>
  <c r="E10" i="28"/>
  <c r="E12" i="28"/>
  <c r="E13" i="28"/>
  <c r="E14" i="28"/>
  <c r="E16" i="28"/>
  <c r="E17" i="28"/>
  <c r="E18" i="28"/>
  <c r="E19" i="28"/>
  <c r="E20" i="28"/>
  <c r="E22" i="28"/>
  <c r="E24" i="28"/>
  <c r="E25" i="28"/>
  <c r="E26" i="28"/>
  <c r="E28" i="28"/>
  <c r="E29" i="28"/>
  <c r="E30" i="28"/>
  <c r="E34" i="28"/>
  <c r="E35" i="28"/>
  <c r="E36" i="28"/>
  <c r="E37" i="28"/>
  <c r="E39" i="28"/>
  <c r="E40" i="28"/>
  <c r="E41" i="28"/>
  <c r="B11" i="28"/>
  <c r="J2" i="4" l="1" a="1"/>
  <c r="J2" i="4" s="1"/>
  <c r="A20" i="19"/>
  <c r="A6" i="15"/>
  <c r="K2" i="13" s="1"/>
  <c r="A5" i="15"/>
  <c r="A16" i="16"/>
  <c r="A21" i="19" l="1"/>
  <c r="A53" i="30"/>
  <c r="A21" i="30"/>
  <c r="A2" i="13"/>
  <c r="A17" i="16"/>
  <c r="D7" i="5"/>
  <c r="C7" i="5"/>
  <c r="C7" i="12"/>
  <c r="B7" i="12"/>
  <c r="I2" i="3" a="1"/>
  <c r="I2" i="3" s="1"/>
  <c r="A10" i="15"/>
  <c r="D44" i="3" s="1"/>
  <c r="A9" i="15"/>
  <c r="M44" i="3" s="1"/>
  <c r="B4" i="15"/>
  <c r="A3" i="2" a="1"/>
  <c r="A3" i="2" s="1"/>
  <c r="A3" i="5" a="1"/>
  <c r="A3" i="5" s="1"/>
  <c r="I40" i="3" a="1"/>
  <c r="I40" i="3" s="1"/>
  <c r="J40" i="4" a="1"/>
  <c r="J40" i="4" s="1"/>
  <c r="A30" i="20"/>
  <c r="E44" i="3" l="1"/>
  <c r="L44" i="3"/>
  <c r="A22" i="19"/>
  <c r="A1" i="2"/>
  <c r="A18" i="16"/>
  <c r="A1" i="18"/>
  <c r="A1" i="10"/>
  <c r="C88" i="3"/>
  <c r="C37" i="3"/>
  <c r="M6" i="3"/>
  <c r="E6" i="3"/>
  <c r="C87" i="3"/>
  <c r="C36" i="3"/>
  <c r="L6" i="3"/>
  <c r="D6" i="3"/>
  <c r="A23" i="19" l="1"/>
  <c r="A19" i="16"/>
  <c r="A24" i="19" l="1"/>
  <c r="A20" i="16"/>
  <c r="A25" i="19" l="1"/>
  <c r="A21" i="16"/>
  <c r="A26" i="19" l="1"/>
  <c r="A22" i="16"/>
  <c r="A27" i="19" l="1"/>
  <c r="A23" i="16"/>
  <c r="A24" i="16" l="1"/>
  <c r="A25" i="16" l="1"/>
  <c r="A26" i="16" l="1"/>
  <c r="A27" i="16" l="1"/>
  <c r="A28" i="16" l="1"/>
  <c r="A29" i="16" l="1"/>
  <c r="A30" i="16" l="1"/>
  <c r="A31" i="16" l="1"/>
  <c r="A32" i="16" l="1"/>
  <c r="A33" i="16" l="1"/>
  <c r="A34" i="16" l="1"/>
  <c r="A35" i="16" l="1"/>
  <c r="A36" i="16" l="1"/>
  <c r="A37" i="16" l="1"/>
  <c r="A38" i="16" l="1"/>
  <c r="A39" i="16" l="1"/>
  <c r="A40" i="16" l="1"/>
  <c r="A41" i="16" l="1"/>
  <c r="A42" i="16" l="1"/>
  <c r="A43" i="16" l="1"/>
  <c r="A44" i="16" l="1"/>
  <c r="A45" i="16" l="1"/>
  <c r="A46" i="16" l="1"/>
  <c r="A47" i="16" l="1"/>
  <c r="A48" i="16" l="1"/>
  <c r="A49" i="16" l="1"/>
  <c r="A50" i="16" l="1"/>
  <c r="A51" i="16" l="1"/>
  <c r="A52" i="16" l="1"/>
  <c r="A53" i="16" s="1"/>
  <c r="D15" i="21" l="1"/>
  <c r="E15" i="21"/>
  <c r="F15" i="21"/>
  <c r="A16" i="21"/>
  <c r="A17" i="21" l="1"/>
  <c r="A18" i="21" l="1"/>
  <c r="A19" i="21" l="1"/>
  <c r="A20" i="21" l="1"/>
  <c r="A21" i="21" l="1"/>
  <c r="A22" i="21" l="1"/>
  <c r="A23" i="21" l="1"/>
  <c r="A24" i="21" l="1"/>
  <c r="A25" i="21" l="1"/>
  <c r="A26" i="21" l="1"/>
  <c r="A27" i="21" l="1"/>
  <c r="A28" i="21" l="1"/>
  <c r="A29" i="21" l="1"/>
  <c r="A30" i="21" l="1"/>
  <c r="A31" i="21" l="1"/>
  <c r="A32" i="21" l="1"/>
  <c r="A33" i="21" l="1"/>
  <c r="A34" i="21" l="1"/>
  <c r="A35" i="21" l="1"/>
  <c r="A36" i="21" l="1"/>
  <c r="A37" i="21" l="1"/>
  <c r="A38" i="21" l="1"/>
  <c r="A39" i="21" l="1"/>
  <c r="A40" i="21" l="1"/>
  <c r="A41" i="21" l="1"/>
  <c r="A42" i="21" l="1"/>
  <c r="A43" i="21" l="1"/>
  <c r="A44" i="21" l="1"/>
  <c r="A45" i="21" l="1"/>
  <c r="A46" i="21" l="1"/>
  <c r="A47" i="21" l="1"/>
  <c r="A48" i="21" l="1"/>
  <c r="A49" i="21" l="1"/>
  <c r="A50" i="21" l="1"/>
  <c r="A51" i="21" l="1"/>
  <c r="A52" i="21" l="1"/>
  <c r="A53" i="21" l="1"/>
  <c r="A54" i="21" l="1"/>
  <c r="A55" i="21" l="1"/>
  <c r="A56" i="21" l="1"/>
  <c r="A57" i="21" l="1"/>
  <c r="A58" i="21" l="1"/>
  <c r="A59" i="21" l="1"/>
  <c r="A60" i="21" l="1"/>
  <c r="A61" i="21" l="1"/>
  <c r="A62" i="21" l="1"/>
  <c r="A63" i="21" l="1"/>
  <c r="A64" i="21" l="1"/>
  <c r="A65" i="21" l="1"/>
  <c r="A66" i="21" l="1"/>
  <c r="A67" i="21" l="1"/>
  <c r="A68" i="21" l="1"/>
  <c r="A69" i="21" l="1"/>
  <c r="A70" i="21" l="1"/>
  <c r="A71" i="21" l="1"/>
  <c r="A72" i="21" l="1"/>
  <c r="D20" i="20"/>
  <c r="G8" i="20"/>
  <c r="G31" i="20"/>
  <c r="B20" i="20"/>
  <c r="A16" i="15"/>
  <c r="C1" i="21"/>
  <c r="A7" i="6"/>
  <c r="A28" i="7"/>
  <c r="A29" i="7"/>
  <c r="A30" i="7"/>
  <c r="A31" i="7"/>
  <c r="A32" i="7"/>
  <c r="A33" i="7"/>
  <c r="A34" i="7"/>
  <c r="A35" i="7"/>
  <c r="A36" i="7"/>
  <c r="A37" i="7"/>
  <c r="A38" i="7"/>
  <c r="A39" i="7"/>
  <c r="A40" i="7"/>
  <c r="A41" i="7"/>
  <c r="A42" i="7"/>
  <c r="A43" i="7"/>
  <c r="A44" i="7"/>
  <c r="A45" i="7"/>
  <c r="A46" i="7"/>
  <c r="A47" i="7"/>
  <c r="A48" i="7"/>
  <c r="A49" i="7"/>
  <c r="A50" i="7"/>
  <c r="A51" i="7"/>
  <c r="A52" i="7"/>
  <c r="A53" i="7"/>
  <c r="A54" i="7"/>
  <c r="A55" i="7"/>
  <c r="A56" i="7"/>
  <c r="A57" i="7"/>
  <c r="A58" i="7"/>
  <c r="A59" i="7"/>
  <c r="A60" i="7"/>
  <c r="A61" i="7"/>
  <c r="A62" i="7"/>
  <c r="A63" i="7"/>
  <c r="A64" i="7"/>
  <c r="A65" i="7"/>
  <c r="A66" i="7"/>
  <c r="A67" i="7"/>
  <c r="A68" i="7"/>
  <c r="A69" i="7"/>
  <c r="A70" i="7"/>
  <c r="A71" i="7"/>
  <c r="A72" i="7"/>
  <c r="A73" i="7"/>
  <c r="A74" i="7"/>
  <c r="A75" i="7"/>
  <c r="A76" i="7"/>
  <c r="A77" i="7"/>
  <c r="A78" i="7"/>
  <c r="A79" i="7"/>
  <c r="A80" i="7"/>
  <c r="A81" i="7"/>
  <c r="A82" i="7"/>
  <c r="A83" i="7" s="1"/>
  <c r="A84" i="7" s="1"/>
  <c r="A85" i="7" s="1"/>
  <c r="A86" i="7" s="1"/>
  <c r="A87" i="7" s="1"/>
  <c r="A88" i="7" s="1"/>
  <c r="A3" i="7"/>
  <c r="A4" i="7" s="1"/>
  <c r="A5" i="7" s="1"/>
  <c r="A6" i="7" s="1"/>
  <c r="A7" i="7" s="1"/>
  <c r="A8" i="7" s="1"/>
  <c r="A9" i="7" s="1"/>
  <c r="A10" i="7" s="1"/>
  <c r="A11" i="7" s="1"/>
  <c r="A12" i="7" s="1"/>
  <c r="A13" i="7" s="1"/>
  <c r="A14" i="7" s="1"/>
  <c r="A15" i="7" s="1"/>
  <c r="A16" i="7" s="1"/>
  <c r="A17" i="7" s="1"/>
  <c r="A18" i="7" s="1"/>
  <c r="A19" i="7" s="1"/>
  <c r="A20" i="7" s="1"/>
  <c r="A21" i="7" s="1"/>
  <c r="A22" i="7" s="1"/>
  <c r="A23" i="7" s="1"/>
  <c r="A24" i="7" s="1"/>
  <c r="A25" i="7" s="1"/>
  <c r="A26" i="7" s="1"/>
  <c r="A3" i="8"/>
  <c r="A4" i="8" s="1"/>
  <c r="A5" i="8" s="1"/>
  <c r="A6" i="8" s="1"/>
  <c r="A7" i="8" s="1"/>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E2" i="21"/>
  <c r="E1" i="21"/>
  <c r="K6" i="20"/>
  <c r="G10" i="20"/>
  <c r="A6" i="20"/>
  <c r="C1" i="19"/>
  <c r="I8" i="18"/>
  <c r="H8" i="18"/>
  <c r="F15" i="19"/>
  <c r="E15" i="19"/>
  <c r="D15" i="19"/>
  <c r="H31" i="18"/>
  <c r="G31" i="18"/>
  <c r="F19" i="18"/>
  <c r="C20" i="18"/>
  <c r="B20" i="18"/>
  <c r="M15" i="21" l="1" a="1"/>
  <c r="M15" i="21" s="1"/>
  <c r="N15" i="21" s="1" a="1"/>
  <c r="N15" i="21" s="1"/>
  <c r="C14" i="21"/>
  <c r="C2" i="21"/>
  <c r="C14" i="19"/>
  <c r="L14" i="19" s="1"/>
  <c r="L15" i="19" s="1" a="1"/>
  <c r="L15" i="19" s="1"/>
  <c r="M15" i="19" s="1" a="1"/>
  <c r="M15" i="19" s="1"/>
  <c r="G14" i="19" s="1"/>
  <c r="C2" i="19"/>
  <c r="A8" i="6"/>
  <c r="A41" i="23"/>
  <c r="A6" i="23"/>
  <c r="D27" i="20"/>
  <c r="A73" i="21"/>
  <c r="E19" i="20"/>
  <c r="M14" i="21"/>
  <c r="A4" i="21"/>
  <c r="A4" i="19"/>
  <c r="G14" i="21" l="1"/>
  <c r="A9" i="6"/>
  <c r="A24" i="1"/>
  <c r="A74" i="21"/>
  <c r="I38" i="18"/>
  <c r="G15" i="21" l="1"/>
  <c r="I33" i="20"/>
  <c r="I43" i="20"/>
  <c r="I35" i="20"/>
  <c r="A36" i="20"/>
  <c r="G50" i="20"/>
  <c r="G58" i="20"/>
  <c r="A50" i="20"/>
  <c r="I42" i="20"/>
  <c r="I34" i="20"/>
  <c r="A34" i="20"/>
  <c r="G51" i="20"/>
  <c r="I44" i="20"/>
  <c r="I40" i="20"/>
  <c r="A32" i="20"/>
  <c r="G53" i="20"/>
  <c r="I39" i="20"/>
  <c r="A41" i="20"/>
  <c r="G54" i="20"/>
  <c r="A35" i="20"/>
  <c r="A33" i="20"/>
  <c r="I38" i="20"/>
  <c r="A40" i="20"/>
  <c r="A44" i="20"/>
  <c r="G55" i="20"/>
  <c r="I48" i="20"/>
  <c r="H14" i="21"/>
  <c r="I41" i="20"/>
  <c r="G52" i="20"/>
  <c r="I32" i="20"/>
  <c r="I46" i="20"/>
  <c r="I37" i="20"/>
  <c r="A39" i="20"/>
  <c r="A43" i="20"/>
  <c r="G56" i="20"/>
  <c r="I47" i="20"/>
  <c r="I45" i="20"/>
  <c r="I36" i="20"/>
  <c r="A37" i="20"/>
  <c r="A42" i="20"/>
  <c r="G49" i="20"/>
  <c r="G57" i="20"/>
  <c r="A38" i="20"/>
  <c r="I34" i="18"/>
  <c r="A40" i="18"/>
  <c r="A43" i="18"/>
  <c r="A39" i="18"/>
  <c r="I36" i="18"/>
  <c r="A38" i="18"/>
  <c r="I35" i="18"/>
  <c r="A37" i="18"/>
  <c r="I42" i="18"/>
  <c r="I41" i="18"/>
  <c r="I33" i="18"/>
  <c r="I40" i="18"/>
  <c r="A42" i="18"/>
  <c r="A34" i="18"/>
  <c r="I39" i="18"/>
  <c r="I37" i="18"/>
  <c r="I32" i="18"/>
  <c r="I43" i="18"/>
  <c r="A36" i="18"/>
  <c r="A32" i="18"/>
  <c r="A35" i="18"/>
  <c r="A41" i="18"/>
  <c r="A33" i="18"/>
  <c r="A44" i="18"/>
  <c r="I44" i="18"/>
  <c r="A45" i="18"/>
  <c r="I45" i="18"/>
  <c r="A46" i="18"/>
  <c r="I46" i="18"/>
  <c r="A47" i="18"/>
  <c r="I47" i="18"/>
  <c r="A48" i="18"/>
  <c r="I48" i="18"/>
  <c r="A10" i="6"/>
  <c r="A25" i="1"/>
  <c r="A75" i="21"/>
  <c r="H14" i="19" l="1"/>
  <c r="A11" i="6"/>
  <c r="A26" i="1"/>
  <c r="H15" i="21"/>
  <c r="A76" i="21"/>
  <c r="K2" i="18"/>
  <c r="A2" i="18"/>
  <c r="A30" i="18"/>
  <c r="D27" i="18"/>
  <c r="D20" i="18"/>
  <c r="G10" i="18"/>
  <c r="K6" i="18"/>
  <c r="A6" i="18"/>
  <c r="I8" i="13"/>
  <c r="H8" i="13"/>
  <c r="B20" i="13"/>
  <c r="C20" i="13"/>
  <c r="F19" i="13"/>
  <c r="H31" i="13"/>
  <c r="G31" i="13"/>
  <c r="D7" i="2"/>
  <c r="C7" i="2"/>
  <c r="D10" i="10"/>
  <c r="C10" i="10"/>
  <c r="H15" i="19" l="1"/>
  <c r="G15" i="19"/>
  <c r="A27" i="1"/>
  <c r="A12" i="6"/>
  <c r="A77" i="21"/>
  <c r="C14" i="16"/>
  <c r="E15" i="16"/>
  <c r="D15" i="16"/>
  <c r="C26" i="17"/>
  <c r="C25" i="17"/>
  <c r="C24" i="17"/>
  <c r="C23" i="17"/>
  <c r="C22" i="17"/>
  <c r="C21" i="17"/>
  <c r="C18" i="17"/>
  <c r="C17" i="17"/>
  <c r="C16" i="17"/>
  <c r="C15" i="17"/>
  <c r="C14" i="17"/>
  <c r="C12" i="17"/>
  <c r="C11" i="17"/>
  <c r="C10" i="17"/>
  <c r="C9" i="17"/>
  <c r="C8" i="17"/>
  <c r="C7" i="17"/>
  <c r="C6" i="17"/>
  <c r="C5" i="17"/>
  <c r="C10" i="16" s="1" a="1"/>
  <c r="C10" i="16" s="1"/>
  <c r="A13" i="6" l="1"/>
  <c r="C5" i="16" a="1"/>
  <c r="C5" i="16" s="1"/>
  <c r="C11" i="21" a="1"/>
  <c r="C11" i="21" s="1"/>
  <c r="C10" i="21" a="1"/>
  <c r="C10" i="21" s="1"/>
  <c r="C9" i="21" a="1"/>
  <c r="C9" i="21" s="1"/>
  <c r="C8" i="21" a="1"/>
  <c r="C8" i="21" s="1"/>
  <c r="C7" i="21" a="1"/>
  <c r="C7" i="21" s="1"/>
  <c r="C6" i="21" a="1"/>
  <c r="C6" i="21" s="1"/>
  <c r="C5" i="21" a="1"/>
  <c r="C5" i="21" s="1"/>
  <c r="C11" i="19" a="1"/>
  <c r="C11" i="19" s="1"/>
  <c r="C10" i="19" a="1"/>
  <c r="C10" i="19" s="1"/>
  <c r="C9" i="19" a="1"/>
  <c r="C9" i="19" s="1"/>
  <c r="C8" i="19" a="1"/>
  <c r="C8" i="19" s="1"/>
  <c r="C7" i="19" a="1"/>
  <c r="C7" i="19" s="1"/>
  <c r="C6" i="19" a="1"/>
  <c r="C6" i="19" s="1"/>
  <c r="C5" i="19" a="1"/>
  <c r="C5" i="19" s="1"/>
  <c r="A28" i="1"/>
  <c r="C11" i="16" a="1"/>
  <c r="C11" i="16" s="1"/>
  <c r="C9" i="16" a="1"/>
  <c r="C9" i="16" s="1"/>
  <c r="C8" i="16" a="1"/>
  <c r="C8" i="16" s="1"/>
  <c r="C7" i="16" a="1"/>
  <c r="C7" i="16" s="1"/>
  <c r="C6" i="16" a="1"/>
  <c r="C6" i="16" s="1"/>
  <c r="L14" i="16"/>
  <c r="A78" i="21"/>
  <c r="A4" i="16"/>
  <c r="A1" i="13"/>
  <c r="A30" i="13"/>
  <c r="A29" i="13"/>
  <c r="D20" i="13"/>
  <c r="G12" i="13"/>
  <c r="K6" i="13"/>
  <c r="A6" i="13"/>
  <c r="L15" i="16" l="1" a="1"/>
  <c r="L15" i="16" s="1"/>
  <c r="M15" i="16" s="1" a="1"/>
  <c r="A14" i="6"/>
  <c r="A29" i="1"/>
  <c r="A79" i="21"/>
  <c r="D27" i="13"/>
  <c r="M15" i="16" l="1"/>
  <c r="A37" i="13"/>
  <c r="A15" i="6"/>
  <c r="A30" i="1"/>
  <c r="A80" i="21"/>
  <c r="A16" i="6" l="1"/>
  <c r="A31" i="1"/>
  <c r="A81" i="21"/>
  <c r="C3" i="8"/>
  <c r="C4" i="8" s="1"/>
  <c r="C5" i="8" s="1"/>
  <c r="C6" i="8" s="1"/>
  <c r="C7" i="8" s="1"/>
  <c r="C8" i="8" s="1"/>
  <c r="C9" i="8" s="1"/>
  <c r="C10" i="8" s="1"/>
  <c r="C11" i="8" s="1"/>
  <c r="C12" i="8" s="1"/>
  <c r="C13" i="8" s="1"/>
  <c r="C14" i="8" s="1"/>
  <c r="C15" i="8" s="1"/>
  <c r="C16" i="8" s="1"/>
  <c r="C17" i="8" s="1"/>
  <c r="C18" i="8" s="1"/>
  <c r="C19" i="8" s="1"/>
  <c r="C20" i="8" s="1"/>
  <c r="C21" i="8" s="1"/>
  <c r="C22" i="8" s="1"/>
  <c r="C23" i="8" s="1"/>
  <c r="C24" i="8" s="1"/>
  <c r="C25" i="8" s="1"/>
  <c r="C26" i="8" s="1"/>
  <c r="C27" i="8" s="1"/>
  <c r="C28" i="8" s="1"/>
  <c r="C29" i="8" l="1"/>
  <c r="C30" i="8" s="1"/>
  <c r="C31" i="8" s="1"/>
  <c r="C32" i="8" s="1"/>
  <c r="C33" i="8" s="1"/>
  <c r="A17" i="6"/>
  <c r="A32" i="1"/>
  <c r="A82" i="21"/>
  <c r="C34" i="8" l="1"/>
  <c r="C35" i="8" s="1"/>
  <c r="C36" i="8" s="1"/>
  <c r="C37" i="8" s="1"/>
  <c r="C38" i="8" s="1"/>
  <c r="C39" i="8" s="1"/>
  <c r="C40" i="8" s="1"/>
  <c r="C41" i="8" s="1"/>
  <c r="C42" i="8" s="1"/>
  <c r="C43" i="8" s="1"/>
  <c r="C44" i="8" s="1"/>
  <c r="C45" i="8" s="1"/>
  <c r="C46" i="8" s="1"/>
  <c r="C47" i="8" s="1"/>
  <c r="A18" i="6"/>
  <c r="A33" i="1"/>
  <c r="A83" i="21"/>
  <c r="C3" i="7"/>
  <c r="C4" i="7" s="1"/>
  <c r="C5" i="7" s="1"/>
  <c r="C6" i="7" s="1"/>
  <c r="C7" i="7" s="1"/>
  <c r="C8" i="7" s="1"/>
  <c r="C9" i="7" s="1"/>
  <c r="C10" i="7" s="1"/>
  <c r="C11" i="7" s="1"/>
  <c r="C12" i="7" s="1"/>
  <c r="C13" i="7" s="1"/>
  <c r="C14" i="7" s="1"/>
  <c r="C15" i="7" s="1"/>
  <c r="C16" i="7" s="1"/>
  <c r="C17" i="7" s="1"/>
  <c r="C18" i="7" s="1"/>
  <c r="C19" i="7" s="1"/>
  <c r="C20" i="7" s="1"/>
  <c r="C21" i="7" s="1"/>
  <c r="C22" i="7" s="1"/>
  <c r="C23" i="7" s="1"/>
  <c r="C24" i="7" s="1"/>
  <c r="C25" i="7" s="1"/>
  <c r="C26" i="7" s="1"/>
  <c r="C27" i="7" s="1"/>
  <c r="C28" i="7" s="1"/>
  <c r="C29" i="7" s="1"/>
  <c r="C30" i="7" s="1"/>
  <c r="C31" i="7" s="1"/>
  <c r="C32" i="7" s="1"/>
  <c r="C33" i="7" s="1"/>
  <c r="C34" i="7" s="1"/>
  <c r="C35" i="7" s="1"/>
  <c r="D54" i="6"/>
  <c r="C51" i="6"/>
  <c r="C48" i="8" l="1"/>
  <c r="C49" i="8" s="1"/>
  <c r="A19" i="6"/>
  <c r="A34" i="1"/>
  <c r="A204" i="27" a="1"/>
  <c r="A84" i="21"/>
  <c r="C36" i="7"/>
  <c r="C50" i="8" l="1"/>
  <c r="C51" i="8" s="1"/>
  <c r="A204" i="27"/>
  <c r="A20" i="6"/>
  <c r="C37" i="7"/>
  <c r="A35" i="1"/>
  <c r="A85" i="21"/>
  <c r="A46" i="13" l="1"/>
  <c r="A48" i="13"/>
  <c r="I48" i="13"/>
  <c r="A49" i="13"/>
  <c r="G49" i="13"/>
  <c r="H49" i="13"/>
  <c r="I49" i="13"/>
  <c r="A50" i="13"/>
  <c r="G50" i="13"/>
  <c r="H50" i="13"/>
  <c r="A51" i="13"/>
  <c r="G51" i="13"/>
  <c r="H51" i="13"/>
  <c r="I51" i="13"/>
  <c r="A52" i="13"/>
  <c r="G52" i="13"/>
  <c r="H52" i="13"/>
  <c r="I52" i="13"/>
  <c r="A53" i="13"/>
  <c r="G53" i="13"/>
  <c r="H53" i="13"/>
  <c r="I53" i="13"/>
  <c r="A44" i="13"/>
  <c r="I44" i="13"/>
  <c r="A45" i="13"/>
  <c r="I45" i="13"/>
  <c r="I46" i="13"/>
  <c r="A47" i="13"/>
  <c r="I47" i="13"/>
  <c r="C52" i="8"/>
  <c r="K55" i="6"/>
  <c r="A21" i="6"/>
  <c r="C38" i="7"/>
  <c r="A36" i="1"/>
  <c r="A86" i="21"/>
  <c r="I42" i="13"/>
  <c r="I43" i="13"/>
  <c r="A43" i="13"/>
  <c r="A42" i="13"/>
  <c r="A41" i="13"/>
  <c r="I33" i="13"/>
  <c r="I35" i="13"/>
  <c r="I37" i="13"/>
  <c r="I39" i="13"/>
  <c r="I32" i="13"/>
  <c r="A38" i="13"/>
  <c r="A33" i="13"/>
  <c r="A35" i="13"/>
  <c r="I41" i="13"/>
  <c r="I34" i="13"/>
  <c r="I36" i="13"/>
  <c r="I38" i="13"/>
  <c r="I40" i="13"/>
  <c r="A40" i="13"/>
  <c r="A39" i="13"/>
  <c r="A34" i="13"/>
  <c r="A36" i="13"/>
  <c r="A32" i="13" l="1"/>
  <c r="I31" i="13" s="1"/>
  <c r="G14" i="16"/>
  <c r="H14" i="16" s="1"/>
  <c r="K56" i="6"/>
  <c r="C53" i="8"/>
  <c r="A22" i="6"/>
  <c r="C39" i="7"/>
  <c r="A37" i="1"/>
  <c r="A87" i="21"/>
  <c r="J40" i="18"/>
  <c r="I31" i="18"/>
  <c r="J40" i="13" l="1"/>
  <c r="H15" i="16"/>
  <c r="K57" i="6"/>
  <c r="C54" i="8"/>
  <c r="A23" i="6"/>
  <c r="C40" i="7"/>
  <c r="A38" i="1"/>
  <c r="A88" i="21"/>
  <c r="G15" i="16"/>
  <c r="C55" i="8" l="1"/>
  <c r="K58" i="6"/>
  <c r="A24" i="6"/>
  <c r="C41" i="7"/>
  <c r="A39" i="1"/>
  <c r="A89" i="21"/>
  <c r="C56" i="8" l="1"/>
  <c r="K59" i="6"/>
  <c r="A25" i="6"/>
  <c r="C42" i="7"/>
  <c r="A40" i="1"/>
  <c r="A90" i="21"/>
  <c r="C89" i="21" a="1"/>
  <c r="C89" i="21" s="1"/>
  <c r="B89" i="21" a="1"/>
  <c r="B89" i="21" s="1"/>
  <c r="A26" i="6" l="1"/>
  <c r="K60" i="6"/>
  <c r="C57" i="8"/>
  <c r="C43" i="7"/>
  <c r="A41" i="1"/>
  <c r="A91" i="21"/>
  <c r="C90" i="21" a="1"/>
  <c r="C90" i="21" s="1"/>
  <c r="B90" i="21" a="1"/>
  <c r="B90" i="21" s="1"/>
  <c r="C58" i="8" l="1"/>
  <c r="K61" i="6"/>
  <c r="A27" i="6"/>
  <c r="C44" i="7"/>
  <c r="A42" i="1"/>
  <c r="A92" i="21"/>
  <c r="C91" i="21" a="1"/>
  <c r="C91" i="21" s="1"/>
  <c r="B91" i="21" a="1"/>
  <c r="B91" i="21" s="1"/>
  <c r="C59" i="8" l="1"/>
  <c r="K62" i="6"/>
  <c r="A28" i="6"/>
  <c r="C45" i="7"/>
  <c r="A43" i="1"/>
  <c r="A93" i="21"/>
  <c r="C92" i="21" a="1"/>
  <c r="C92" i="21" s="1"/>
  <c r="B92" i="21" a="1"/>
  <c r="B92" i="21" s="1"/>
  <c r="K63" i="6" l="1"/>
  <c r="C60" i="8"/>
  <c r="C61" i="8" s="1"/>
  <c r="C62" i="8" s="1"/>
  <c r="C63" i="8" s="1"/>
  <c r="C64" i="8" s="1"/>
  <c r="C65" i="8" s="1"/>
  <c r="C66" i="8" s="1"/>
  <c r="C67" i="8" s="1"/>
  <c r="C68" i="8" s="1"/>
  <c r="C69" i="8" s="1"/>
  <c r="C70" i="8" s="1"/>
  <c r="C71" i="8" s="1"/>
  <c r="C72" i="8" s="1"/>
  <c r="C73" i="8" s="1"/>
  <c r="C74" i="8" s="1"/>
  <c r="C75" i="8" s="1"/>
  <c r="C76" i="8" s="1"/>
  <c r="C77" i="8" s="1"/>
  <c r="C78" i="8" s="1"/>
  <c r="C79" i="8" s="1"/>
  <c r="C80" i="8" s="1"/>
  <c r="C81" i="8" s="1"/>
  <c r="C82" i="8" s="1"/>
  <c r="C83" i="8" s="1"/>
  <c r="C84" i="8" s="1"/>
  <c r="C85" i="8" s="1"/>
  <c r="C86" i="8" s="1"/>
  <c r="C87" i="8" s="1"/>
  <c r="C88" i="8" s="1"/>
  <c r="C89" i="8" s="1"/>
  <c r="C90" i="8" s="1"/>
  <c r="C91" i="8" s="1"/>
  <c r="C92" i="8" s="1"/>
  <c r="C93" i="8" s="1"/>
  <c r="A29" i="6"/>
  <c r="C46" i="7"/>
  <c r="A44" i="1"/>
  <c r="A94" i="21"/>
  <c r="C93" i="21" a="1"/>
  <c r="C93" i="21" s="1"/>
  <c r="B93" i="21" a="1"/>
  <c r="B93" i="21" s="1"/>
  <c r="A30" i="6" l="1"/>
  <c r="C47" i="7"/>
  <c r="A45" i="1"/>
  <c r="A95" i="21"/>
  <c r="C94" i="21" a="1"/>
  <c r="C94" i="21" s="1"/>
  <c r="B94" i="21" a="1"/>
  <c r="B94" i="21" s="1"/>
  <c r="A31" i="6" l="1"/>
  <c r="C48" i="7"/>
  <c r="A46" i="1"/>
  <c r="A96" i="21"/>
  <c r="C95" i="21" a="1"/>
  <c r="C95" i="21" s="1"/>
  <c r="B95" i="21" a="1"/>
  <c r="B95" i="21" s="1"/>
  <c r="A32" i="6" l="1"/>
  <c r="C49" i="7"/>
  <c r="A47" i="1"/>
  <c r="A97" i="21"/>
  <c r="C96" i="21" a="1"/>
  <c r="C96" i="21" s="1"/>
  <c r="B96" i="21" a="1"/>
  <c r="B96" i="21" s="1"/>
  <c r="A33" i="6" l="1"/>
  <c r="C50" i="7"/>
  <c r="A48" i="1"/>
  <c r="A98" i="21"/>
  <c r="C97" i="21" a="1"/>
  <c r="C97" i="21" s="1"/>
  <c r="B97" i="21" a="1"/>
  <c r="B97" i="21" s="1"/>
  <c r="A34" i="6" l="1"/>
  <c r="C51" i="7"/>
  <c r="A49" i="1"/>
  <c r="A99" i="21"/>
  <c r="C98" i="21" a="1"/>
  <c r="C98" i="21" s="1"/>
  <c r="B98" i="21" a="1"/>
  <c r="B98" i="21" s="1"/>
  <c r="A35" i="6" l="1"/>
  <c r="C52" i="7"/>
  <c r="A50" i="1"/>
  <c r="A100" i="21"/>
  <c r="C99" i="21" a="1"/>
  <c r="C99" i="21" s="1"/>
  <c r="B99" i="21" a="1"/>
  <c r="B99" i="21" s="1"/>
  <c r="A36" i="6" l="1"/>
  <c r="C53" i="7"/>
  <c r="A51" i="1"/>
  <c r="A101" i="21"/>
  <c r="C100" i="21" a="1"/>
  <c r="C100" i="21" s="1"/>
  <c r="B100" i="21" a="1"/>
  <c r="B100" i="21" s="1"/>
  <c r="A37" i="6" l="1"/>
  <c r="C54" i="7"/>
  <c r="A52" i="1"/>
  <c r="A102" i="21"/>
  <c r="C101" i="21" a="1"/>
  <c r="C101" i="21" s="1"/>
  <c r="B101" i="21" a="1"/>
  <c r="B101" i="21" s="1"/>
  <c r="A103" i="21" l="1"/>
  <c r="A38" i="6"/>
  <c r="C55" i="7"/>
  <c r="A53" i="1"/>
  <c r="C102" i="21" a="1"/>
  <c r="C102" i="21" s="1"/>
  <c r="B102" i="21" a="1"/>
  <c r="B102" i="21" s="1"/>
  <c r="B103" i="21" l="1" a="1"/>
  <c r="B103" i="21" s="1"/>
  <c r="A104" i="21"/>
  <c r="C103" i="21" a="1"/>
  <c r="C103" i="21" s="1"/>
  <c r="A39" i="6"/>
  <c r="C56" i="7"/>
  <c r="A54" i="1"/>
  <c r="B104" i="21" l="1" a="1"/>
  <c r="B104" i="21" s="1"/>
  <c r="A105" i="21"/>
  <c r="C104" i="21" a="1"/>
  <c r="C104" i="21" s="1"/>
  <c r="A40" i="6"/>
  <c r="C57" i="7"/>
  <c r="A55" i="1"/>
  <c r="C105" i="21" l="1" a="1"/>
  <c r="C105" i="21" s="1"/>
  <c r="B105" i="21" a="1"/>
  <c r="B105" i="21" s="1"/>
  <c r="A106" i="21"/>
  <c r="A107" i="21" s="1"/>
  <c r="A108" i="21" s="1"/>
  <c r="A109" i="21" s="1"/>
  <c r="A110" i="21" s="1"/>
  <c r="A111" i="21" s="1"/>
  <c r="A112" i="21" s="1"/>
  <c r="A113" i="21" s="1"/>
  <c r="A114" i="21" s="1"/>
  <c r="A41" i="6"/>
  <c r="C58" i="7"/>
  <c r="C59" i="7" s="1"/>
  <c r="C60" i="7" s="1"/>
  <c r="A56" i="1"/>
  <c r="B106" i="21" l="1" a="1"/>
  <c r="B106" i="21" s="1"/>
  <c r="C106" i="21" a="1"/>
  <c r="C106" i="21" s="1"/>
  <c r="A42" i="6"/>
  <c r="A57" i="1"/>
  <c r="C107" i="21" l="1" a="1"/>
  <c r="C107" i="21" s="1"/>
  <c r="B107" i="21" a="1"/>
  <c r="B107" i="21" s="1"/>
  <c r="A43" i="6"/>
  <c r="A58" i="1"/>
  <c r="B108" i="21" l="1" a="1"/>
  <c r="B108" i="21" s="1"/>
  <c r="C108" i="21" a="1"/>
  <c r="C108" i="21" s="1"/>
  <c r="A44" i="6"/>
  <c r="A59" i="1"/>
  <c r="B109" i="21" l="1" a="1"/>
  <c r="B109" i="21" s="1"/>
  <c r="C109" i="21" a="1"/>
  <c r="C109" i="21" s="1"/>
  <c r="A45" i="6"/>
  <c r="A60" i="1"/>
  <c r="C110" i="21" l="1" a="1"/>
  <c r="C110" i="21" s="1"/>
  <c r="B110" i="21" a="1"/>
  <c r="B110" i="21" s="1"/>
  <c r="A46" i="6"/>
  <c r="A61" i="1"/>
  <c r="B111" i="21" l="1" a="1"/>
  <c r="B111" i="21" s="1"/>
  <c r="H111" i="21" a="1"/>
  <c r="H111" i="21" s="1"/>
  <c r="F111" i="21" a="1"/>
  <c r="F111" i="21" s="1"/>
  <c r="G111" i="21" a="1"/>
  <c r="G111" i="21" s="1"/>
  <c r="D111" i="21" a="1"/>
  <c r="D111" i="21" s="1"/>
  <c r="E111" i="21" a="1"/>
  <c r="E111" i="21" s="1"/>
  <c r="C111" i="21" a="1"/>
  <c r="C111" i="21" s="1"/>
  <c r="A47" i="6"/>
  <c r="A62" i="1"/>
  <c r="B112" i="21" l="1" a="1"/>
  <c r="B112" i="21" s="1"/>
  <c r="D112" i="21" a="1"/>
  <c r="D112" i="21" s="1"/>
  <c r="G112" i="21" a="1"/>
  <c r="G112" i="21" s="1"/>
  <c r="E112" i="21" a="1"/>
  <c r="E112" i="21" s="1"/>
  <c r="H112" i="21" a="1"/>
  <c r="H112" i="21" s="1"/>
  <c r="C112" i="21" a="1"/>
  <c r="C112" i="21" s="1"/>
  <c r="F112" i="21" a="1"/>
  <c r="F112" i="21" s="1"/>
  <c r="A48" i="6"/>
  <c r="A63" i="1"/>
  <c r="C113" i="21" l="1" a="1"/>
  <c r="C113" i="21" s="1"/>
  <c r="F113" i="21" a="1"/>
  <c r="F113" i="21" s="1"/>
  <c r="G113" i="21" a="1"/>
  <c r="G113" i="21" s="1"/>
  <c r="H113" i="21" a="1"/>
  <c r="H113" i="21" s="1"/>
  <c r="D113" i="21" a="1"/>
  <c r="D113" i="21" s="1"/>
  <c r="B113" i="21" a="1"/>
  <c r="B113" i="21" s="1"/>
  <c r="E113" i="21" a="1"/>
  <c r="E113" i="21" s="1"/>
  <c r="A49" i="6"/>
  <c r="A64" i="1"/>
  <c r="B114" i="21" l="1" a="1"/>
  <c r="B114" i="21" s="1"/>
  <c r="E114" i="21" a="1"/>
  <c r="E114" i="21" s="1"/>
  <c r="D114" i="21" a="1"/>
  <c r="D114" i="21" s="1"/>
  <c r="C114" i="21" a="1"/>
  <c r="C114" i="21" s="1"/>
  <c r="A115" i="21"/>
  <c r="H114" i="21" a="1"/>
  <c r="H114" i="21" s="1"/>
  <c r="G114" i="21" a="1"/>
  <c r="G114" i="21" s="1"/>
  <c r="F114" i="21" a="1"/>
  <c r="F114" i="21" s="1"/>
  <c r="A50" i="6"/>
  <c r="A65" i="1"/>
  <c r="B115" i="21" l="1" a="1"/>
  <c r="B115" i="21" s="1"/>
  <c r="G115" i="21" a="1"/>
  <c r="G115" i="21" s="1"/>
  <c r="D115" i="21" a="1"/>
  <c r="D115" i="21" s="1"/>
  <c r="A116" i="21"/>
  <c r="C115" i="21" a="1"/>
  <c r="C115" i="21" s="1"/>
  <c r="F115" i="21" a="1"/>
  <c r="F115" i="21" s="1"/>
  <c r="E115" i="21" a="1"/>
  <c r="E115" i="21" s="1"/>
  <c r="H115" i="21" a="1"/>
  <c r="H115" i="21" s="1"/>
  <c r="A51" i="6"/>
  <c r="A66" i="1"/>
  <c r="C116" i="21" l="1" a="1"/>
  <c r="C116" i="21" s="1"/>
  <c r="B116" i="21" a="1"/>
  <c r="B116" i="21" s="1"/>
  <c r="E116" i="21" a="1"/>
  <c r="E116" i="21" s="1"/>
  <c r="D116" i="21" a="1"/>
  <c r="D116" i="21" s="1"/>
  <c r="H116" i="21" a="1"/>
  <c r="H116" i="21" s="1"/>
  <c r="G116" i="21" a="1"/>
  <c r="G116" i="21" s="1"/>
  <c r="F116" i="21" a="1"/>
  <c r="F116" i="21" s="1"/>
  <c r="A117" i="21"/>
  <c r="A52" i="6"/>
  <c r="A67" i="1"/>
  <c r="G117" i="21" l="1" a="1"/>
  <c r="G117" i="21" s="1"/>
  <c r="F117" i="21" a="1"/>
  <c r="F117" i="21" s="1"/>
  <c r="C117" i="21" a="1"/>
  <c r="C117" i="21" s="1"/>
  <c r="H117" i="21" a="1"/>
  <c r="H117" i="21" s="1"/>
  <c r="D117" i="21" a="1"/>
  <c r="D117" i="21" s="1"/>
  <c r="B117" i="21" a="1"/>
  <c r="B117" i="21" s="1"/>
  <c r="E117" i="21" a="1"/>
  <c r="E117" i="21" s="1"/>
  <c r="A118" i="21"/>
  <c r="A53" i="6"/>
  <c r="A68" i="1"/>
  <c r="A119" i="21" l="1"/>
  <c r="B118" i="21" a="1"/>
  <c r="B118" i="21" s="1"/>
  <c r="C118" i="21" a="1"/>
  <c r="C118" i="21" s="1"/>
  <c r="D118" i="21" a="1"/>
  <c r="D118" i="21" s="1"/>
  <c r="E118" i="21" a="1"/>
  <c r="E118" i="21" s="1"/>
  <c r="H118" i="21" a="1"/>
  <c r="H118" i="21" s="1"/>
  <c r="F118" i="21" a="1"/>
  <c r="F118" i="21" s="1"/>
  <c r="G118" i="21" a="1"/>
  <c r="G118" i="21" s="1"/>
  <c r="A54" i="6"/>
  <c r="A69" i="1"/>
  <c r="B119" i="21" l="1" a="1"/>
  <c r="B119" i="21" s="1"/>
  <c r="A120" i="21"/>
  <c r="G119" i="21" a="1"/>
  <c r="G119" i="21" s="1"/>
  <c r="C119" i="21" a="1"/>
  <c r="C119" i="21" s="1"/>
  <c r="E119" i="21" a="1"/>
  <c r="E119" i="21" s="1"/>
  <c r="H119" i="21" a="1"/>
  <c r="H119" i="21" s="1"/>
  <c r="F119" i="21" a="1"/>
  <c r="F119" i="21" s="1"/>
  <c r="D119" i="21" a="1"/>
  <c r="D119" i="21" s="1"/>
  <c r="A55" i="6"/>
  <c r="A70" i="1"/>
  <c r="B120" i="21" l="1" a="1"/>
  <c r="B120" i="21" s="1"/>
  <c r="A121" i="21"/>
  <c r="F120" i="21" a="1"/>
  <c r="F120" i="21" s="1"/>
  <c r="D120" i="21" a="1"/>
  <c r="D120" i="21" s="1"/>
  <c r="G120" i="21" a="1"/>
  <c r="G120" i="21" s="1"/>
  <c r="E120" i="21" a="1"/>
  <c r="E120" i="21" s="1"/>
  <c r="C120" i="21" a="1"/>
  <c r="C120" i="21" s="1"/>
  <c r="H120" i="21" a="1"/>
  <c r="H120" i="21" s="1"/>
  <c r="A56" i="6"/>
  <c r="A71" i="1"/>
  <c r="F121" i="21" l="1" a="1"/>
  <c r="F121" i="21" s="1"/>
  <c r="A122" i="21"/>
  <c r="G121" i="21" a="1"/>
  <c r="G121" i="21" s="1"/>
  <c r="C121" i="21" a="1"/>
  <c r="C121" i="21" s="1"/>
  <c r="B121" i="21" a="1"/>
  <c r="B121" i="21" s="1"/>
  <c r="H121" i="21" a="1"/>
  <c r="H121" i="21" s="1"/>
  <c r="E121" i="21" a="1"/>
  <c r="E121" i="21" s="1"/>
  <c r="D121" i="21" a="1"/>
  <c r="D121" i="21" s="1"/>
  <c r="A57" i="6"/>
  <c r="A72" i="1"/>
  <c r="C122" i="21" l="1" a="1"/>
  <c r="C122" i="21" s="1"/>
  <c r="B122" i="21" a="1"/>
  <c r="B122" i="21" s="1"/>
  <c r="E122" i="21" a="1"/>
  <c r="E122" i="21" s="1"/>
  <c r="D122" i="21" a="1"/>
  <c r="D122" i="21" s="1"/>
  <c r="A123" i="21"/>
  <c r="H122" i="21" a="1"/>
  <c r="H122" i="21" s="1"/>
  <c r="G122" i="21" a="1"/>
  <c r="G122" i="21" s="1"/>
  <c r="F122" i="21" a="1"/>
  <c r="F122" i="21" s="1"/>
  <c r="A58" i="6"/>
  <c r="A73" i="1"/>
  <c r="E123" i="21" l="1" a="1"/>
  <c r="E123" i="21" s="1"/>
  <c r="F123" i="21" a="1"/>
  <c r="F123" i="21" s="1"/>
  <c r="A124" i="21"/>
  <c r="H123" i="21" a="1"/>
  <c r="H123" i="21" s="1"/>
  <c r="D123" i="21" a="1"/>
  <c r="D123" i="21" s="1"/>
  <c r="C123" i="21" a="1"/>
  <c r="C123" i="21" s="1"/>
  <c r="B123" i="21" a="1"/>
  <c r="B123" i="21" s="1"/>
  <c r="G123" i="21" a="1"/>
  <c r="G123" i="21" s="1"/>
  <c r="AP147" i="27"/>
  <c r="AO147" i="27"/>
  <c r="A59" i="6"/>
  <c r="A74" i="1"/>
  <c r="B124" i="21" l="1" a="1"/>
  <c r="B124" i="21" s="1"/>
  <c r="C124" i="21" a="1"/>
  <c r="C124" i="21" s="1"/>
  <c r="D124" i="21" a="1"/>
  <c r="D124" i="21" s="1"/>
  <c r="E124" i="21" a="1"/>
  <c r="E124" i="21" s="1"/>
  <c r="H124" i="21" a="1"/>
  <c r="H124" i="21" s="1"/>
  <c r="A125" i="21"/>
  <c r="F124" i="21" a="1"/>
  <c r="F124" i="21" s="1"/>
  <c r="G124" i="21" a="1"/>
  <c r="G124" i="21" s="1"/>
  <c r="A60" i="6"/>
  <c r="A75" i="1"/>
  <c r="F125" i="21" l="1" a="1"/>
  <c r="F125" i="21" s="1"/>
  <c r="A126" i="21"/>
  <c r="C125" i="21" a="1"/>
  <c r="C125" i="21" s="1"/>
  <c r="D125" i="21" a="1"/>
  <c r="D125" i="21" s="1"/>
  <c r="E125" i="21" a="1"/>
  <c r="E125" i="21" s="1"/>
  <c r="B125" i="21" a="1"/>
  <c r="B125" i="21" s="1"/>
  <c r="G125" i="21" a="1"/>
  <c r="G125" i="21" s="1"/>
  <c r="H125" i="21" a="1"/>
  <c r="H125" i="21" s="1"/>
  <c r="A61" i="6"/>
  <c r="A76" i="1"/>
  <c r="C126" i="21" l="1" a="1"/>
  <c r="C126" i="21" s="1"/>
  <c r="D126" i="21" a="1"/>
  <c r="D126" i="21" s="1"/>
  <c r="E126" i="21" a="1"/>
  <c r="E126" i="21" s="1"/>
  <c r="F126" i="21" a="1"/>
  <c r="F126" i="21" s="1"/>
  <c r="B126" i="21" a="1"/>
  <c r="B126" i="21" s="1"/>
  <c r="G126" i="21" a="1"/>
  <c r="G126" i="21" s="1"/>
  <c r="H126" i="21" a="1"/>
  <c r="H126" i="21" s="1"/>
  <c r="A62" i="6"/>
  <c r="A77" i="1"/>
  <c r="A63" i="6" l="1"/>
  <c r="A78" i="1"/>
  <c r="A64" i="6" l="1"/>
  <c r="A79" i="1"/>
  <c r="A65" i="6" l="1"/>
  <c r="A80" i="1"/>
  <c r="A66" i="6" l="1"/>
  <c r="A81" i="1"/>
  <c r="A67" i="6" l="1"/>
  <c r="A82" i="1"/>
  <c r="A68" i="6" l="1"/>
  <c r="A83" i="1"/>
  <c r="A69" i="6" l="1"/>
  <c r="A84" i="1"/>
  <c r="A70" i="6" l="1"/>
  <c r="A85" i="1"/>
  <c r="AO132" i="27" l="1"/>
  <c r="AP132" i="27"/>
  <c r="A71" i="6"/>
  <c r="A86" i="1"/>
  <c r="A72" i="6" l="1"/>
  <c r="A87" i="1"/>
  <c r="A73" i="6" l="1"/>
  <c r="A88" i="1"/>
  <c r="A74" i="6" l="1"/>
  <c r="A89" i="1"/>
  <c r="A75" i="6" l="1"/>
  <c r="A90" i="1"/>
  <c r="A76" i="6" l="1"/>
  <c r="A91" i="1"/>
  <c r="AP174" i="27" l="1"/>
  <c r="AO174" i="27"/>
  <c r="A77" i="6"/>
  <c r="A92" i="1"/>
  <c r="AP201" i="27" l="1"/>
  <c r="AO201" i="27"/>
  <c r="A78" i="6"/>
  <c r="A93" i="1"/>
  <c r="A79" i="6" l="1"/>
  <c r="A94" i="1"/>
  <c r="AO185" i="27" l="1"/>
  <c r="AP158" i="27"/>
  <c r="AP185" i="27"/>
  <c r="AO158" i="27"/>
  <c r="A80" i="6"/>
  <c r="A95" i="1"/>
  <c r="A81" i="6" l="1"/>
  <c r="A96" i="1"/>
  <c r="A82" i="6" l="1"/>
  <c r="A97" i="1"/>
  <c r="AP173" i="27" l="1"/>
  <c r="AO173" i="27"/>
  <c r="AP184" i="27"/>
  <c r="AO184" i="27"/>
  <c r="AO200" i="27"/>
  <c r="AP200" i="27"/>
  <c r="AP157" i="27"/>
  <c r="AP117" i="27"/>
  <c r="A83" i="6"/>
  <c r="A98" i="1"/>
  <c r="A84" i="6" l="1"/>
  <c r="A99" i="1"/>
  <c r="A85" i="6" l="1"/>
  <c r="A100" i="1"/>
  <c r="G45" i="18" l="1"/>
  <c r="H46" i="18"/>
  <c r="G46" i="18"/>
  <c r="H47" i="18"/>
  <c r="G48" i="18"/>
  <c r="H44" i="18"/>
  <c r="H48" i="18"/>
  <c r="G47" i="18"/>
  <c r="G44" i="18"/>
  <c r="A86" i="6"/>
  <c r="A101" i="1"/>
  <c r="H45" i="18" l="1"/>
  <c r="H43" i="18"/>
  <c r="G43" i="18"/>
  <c r="G47" i="13"/>
  <c r="H46" i="13"/>
  <c r="G48" i="13"/>
  <c r="H47" i="13"/>
  <c r="G45" i="13"/>
  <c r="G44" i="13"/>
  <c r="H45" i="13"/>
  <c r="H48" i="13"/>
  <c r="G46" i="13"/>
  <c r="H44" i="13"/>
  <c r="A87" i="6"/>
  <c r="A102" i="1"/>
  <c r="G43" i="13" l="1"/>
  <c r="H43" i="13"/>
  <c r="A88" i="6"/>
  <c r="A103" i="1"/>
  <c r="A89" i="6" l="1"/>
  <c r="A104" i="1"/>
  <c r="A90" i="6" l="1"/>
  <c r="A105" i="1"/>
  <c r="A91" i="6" l="1"/>
  <c r="A106" i="1"/>
  <c r="A92" i="6" l="1"/>
  <c r="A107" i="1"/>
  <c r="A93" i="6" l="1"/>
  <c r="A88" i="27" a="1"/>
  <c r="A39" i="27" a="1"/>
  <c r="A23" i="27" a="1"/>
  <c r="A72" i="27" a="1"/>
  <c r="A7" i="27" a="1"/>
  <c r="A56" i="27" a="1"/>
  <c r="A108" i="1"/>
  <c r="A109" i="1" s="1"/>
  <c r="A94" i="6" l="1"/>
  <c r="AQ84" i="23"/>
  <c r="AP84" i="23"/>
  <c r="A56" i="27"/>
  <c r="A57" i="27" s="1" a="1"/>
  <c r="A72" i="27"/>
  <c r="A73" i="27" s="1" a="1"/>
  <c r="A39" i="27"/>
  <c r="A40" i="27" s="1" a="1"/>
  <c r="A7" i="27"/>
  <c r="A8" i="27" s="1" a="1"/>
  <c r="A23" i="27"/>
  <c r="A24" i="27" s="1" a="1"/>
  <c r="A88" i="27"/>
  <c r="A89" i="27" s="1" a="1"/>
  <c r="A110" i="1"/>
  <c r="A95" i="6" l="1"/>
  <c r="A8" i="27"/>
  <c r="A9" i="27" s="1" a="1"/>
  <c r="A9" i="27" s="1"/>
  <c r="AO20" i="27"/>
  <c r="AP20" i="27"/>
  <c r="A24" i="27"/>
  <c r="A25" i="27" s="1" a="1"/>
  <c r="A25" i="27" s="1"/>
  <c r="A26" i="27" s="1" a="1"/>
  <c r="A26" i="27" s="1"/>
  <c r="A27" i="27" s="1" a="1"/>
  <c r="A27" i="27" s="1"/>
  <c r="A28" i="27" s="1" a="1"/>
  <c r="A28" i="27" s="1"/>
  <c r="A29" i="27" s="1" a="1"/>
  <c r="A29" i="27" s="1"/>
  <c r="A30" i="27" s="1" a="1"/>
  <c r="A30" i="27" s="1"/>
  <c r="A31" i="27" s="1" a="1"/>
  <c r="A31" i="27" s="1"/>
  <c r="A32" i="27" s="1" a="1"/>
  <c r="A32" i="27" s="1"/>
  <c r="A33" i="27" s="1" a="1"/>
  <c r="A33" i="27" s="1"/>
  <c r="A34" i="27" s="1" a="1"/>
  <c r="A34" i="27" s="1"/>
  <c r="A35" i="27" s="1" a="1"/>
  <c r="A35" i="27" s="1"/>
  <c r="AO36" i="27"/>
  <c r="AP36" i="27"/>
  <c r="A40" i="27"/>
  <c r="A41" i="27" s="1" a="1"/>
  <c r="A41" i="27" s="1"/>
  <c r="A42" i="27" s="1" a="1"/>
  <c r="A42" i="27" s="1"/>
  <c r="A43" i="27" s="1" a="1"/>
  <c r="A43" i="27" s="1"/>
  <c r="A44" i="27" s="1" a="1"/>
  <c r="A44" i="27" s="1"/>
  <c r="A45" i="27" s="1" a="1"/>
  <c r="A45" i="27" s="1"/>
  <c r="A46" i="27" s="1" a="1"/>
  <c r="A46" i="27" s="1"/>
  <c r="A47" i="27" s="1" a="1"/>
  <c r="A47" i="27" s="1"/>
  <c r="A48" i="27" s="1" a="1"/>
  <c r="A48" i="27" s="1"/>
  <c r="A49" i="27" s="1" a="1"/>
  <c r="A49" i="27" s="1"/>
  <c r="A50" i="27" s="1" a="1"/>
  <c r="A50" i="27" s="1"/>
  <c r="A51" i="27" s="1" a="1"/>
  <c r="A51" i="27" s="1"/>
  <c r="AO52" i="27"/>
  <c r="A57" i="27"/>
  <c r="AP69" i="27"/>
  <c r="A89" i="27"/>
  <c r="A90" i="27" s="1" a="1"/>
  <c r="A90" i="27" s="1"/>
  <c r="A91" i="27" s="1" a="1"/>
  <c r="A91" i="27" s="1"/>
  <c r="A92" i="27" s="1" a="1"/>
  <c r="A92" i="27" s="1"/>
  <c r="A93" i="27" s="1" a="1"/>
  <c r="A93" i="27" s="1"/>
  <c r="A94" i="27" s="1" a="1"/>
  <c r="A94" i="27" s="1"/>
  <c r="A95" i="27" s="1" a="1"/>
  <c r="A95" i="27" s="1"/>
  <c r="A96" i="27" s="1" a="1"/>
  <c r="A96" i="27" s="1"/>
  <c r="A97" i="27" s="1" a="1"/>
  <c r="A97" i="27" s="1"/>
  <c r="A98" i="27" s="1" a="1"/>
  <c r="A98" i="27" s="1"/>
  <c r="A99" i="27" s="1" a="1"/>
  <c r="A99" i="27" s="1"/>
  <c r="A100" i="27" s="1" a="1"/>
  <c r="A100" i="27" s="1"/>
  <c r="A73" i="27"/>
  <c r="A74" i="27" s="1" a="1"/>
  <c r="A74" i="27" s="1"/>
  <c r="A75" i="27" s="1" a="1"/>
  <c r="A75" i="27" s="1"/>
  <c r="A76" i="27" s="1" a="1"/>
  <c r="A76" i="27" s="1"/>
  <c r="A77" i="27" s="1" a="1"/>
  <c r="A77" i="27" s="1"/>
  <c r="A78" i="27" s="1" a="1"/>
  <c r="A78" i="27" s="1"/>
  <c r="A79" i="27" s="1" a="1"/>
  <c r="A79" i="27" s="1"/>
  <c r="A80" i="27" s="1" a="1"/>
  <c r="A80" i="27" s="1"/>
  <c r="A81" i="27" s="1" a="1"/>
  <c r="A81" i="27" s="1"/>
  <c r="A82" i="27" s="1" a="1"/>
  <c r="A82" i="27" s="1"/>
  <c r="A83" i="27" s="1" a="1"/>
  <c r="A83" i="27" s="1"/>
  <c r="A84" i="27" s="1" a="1"/>
  <c r="A84" i="27" s="1"/>
  <c r="AP101" i="27"/>
  <c r="AP52" i="27"/>
  <c r="AO85" i="27"/>
  <c r="AO101" i="27"/>
  <c r="AO69" i="27"/>
  <c r="AP85" i="27"/>
  <c r="G45" i="20"/>
  <c r="G48" i="20"/>
  <c r="G47" i="20"/>
  <c r="G44" i="20"/>
  <c r="G46" i="20"/>
  <c r="G43" i="20"/>
  <c r="A111" i="1"/>
  <c r="A58" i="27" l="1" a="1"/>
  <c r="A58" i="27" s="1"/>
  <c r="A59" i="27" s="1" a="1"/>
  <c r="A59" i="27" s="1"/>
  <c r="A96" i="6"/>
  <c r="AI101" i="27"/>
  <c r="AC101" i="27"/>
  <c r="Y101" i="27"/>
  <c r="L101" i="27"/>
  <c r="D101" i="27"/>
  <c r="AD101" i="27"/>
  <c r="R101" i="27"/>
  <c r="G101" i="27"/>
  <c r="N101" i="27"/>
  <c r="H85" i="27"/>
  <c r="W52" i="27"/>
  <c r="AJ36" i="27"/>
  <c r="E36" i="27"/>
  <c r="F85" i="27"/>
  <c r="AG52" i="27"/>
  <c r="R36" i="27"/>
  <c r="L85" i="27"/>
  <c r="K52" i="27"/>
  <c r="AL85" i="27"/>
  <c r="AI36" i="27"/>
  <c r="AK85" i="27"/>
  <c r="AD85" i="27"/>
  <c r="AF52" i="27"/>
  <c r="AG36" i="27"/>
  <c r="AK36" i="27"/>
  <c r="AG101" i="27"/>
  <c r="T101" i="27"/>
  <c r="AM101" i="27"/>
  <c r="AB101" i="27"/>
  <c r="J101" i="27"/>
  <c r="AL52" i="27"/>
  <c r="H36" i="27"/>
  <c r="E101" i="27"/>
  <c r="AB52" i="27"/>
  <c r="G36" i="27"/>
  <c r="AC52" i="27"/>
  <c r="M85" i="27"/>
  <c r="H101" i="27"/>
  <c r="AN101" i="27"/>
  <c r="W101" i="27"/>
  <c r="AD52" i="27"/>
  <c r="AC36" i="27"/>
  <c r="AH36" i="27"/>
  <c r="F52" i="27"/>
  <c r="Z101" i="27"/>
  <c r="U101" i="27"/>
  <c r="AH85" i="27"/>
  <c r="W85" i="27"/>
  <c r="R52" i="27"/>
  <c r="AI52" i="27"/>
  <c r="AI85" i="27"/>
  <c r="AM85" i="27"/>
  <c r="AJ85" i="27"/>
  <c r="AK101" i="27"/>
  <c r="G52" i="27"/>
  <c r="Q52" i="27"/>
  <c r="I36" i="27"/>
  <c r="P36" i="27"/>
  <c r="F36" i="27"/>
  <c r="U36" i="27"/>
  <c r="K101" i="27"/>
  <c r="L52" i="27"/>
  <c r="J36" i="27"/>
  <c r="AB36" i="27"/>
  <c r="V52" i="27"/>
  <c r="AH101" i="27"/>
  <c r="X101" i="27"/>
  <c r="N85" i="27"/>
  <c r="X85" i="27"/>
  <c r="N52" i="27"/>
  <c r="I52" i="27"/>
  <c r="AM52" i="27"/>
  <c r="AN85" i="27"/>
  <c r="S85" i="27"/>
  <c r="AA101" i="27"/>
  <c r="C52" i="27"/>
  <c r="AJ52" i="27"/>
  <c r="AL36" i="27"/>
  <c r="W36" i="27"/>
  <c r="AN36" i="27"/>
  <c r="C101" i="27"/>
  <c r="I101" i="27"/>
  <c r="M101" i="27"/>
  <c r="X36" i="27"/>
  <c r="L36" i="27"/>
  <c r="O85" i="27"/>
  <c r="T85" i="27"/>
  <c r="B85" i="27"/>
  <c r="I85" i="27"/>
  <c r="AK52" i="27"/>
  <c r="AC85" i="27"/>
  <c r="Y52" i="27"/>
  <c r="AA85" i="27"/>
  <c r="U85" i="27"/>
  <c r="P52" i="27"/>
  <c r="O52" i="27"/>
  <c r="H52" i="27"/>
  <c r="AF101" i="27"/>
  <c r="P101" i="27"/>
  <c r="AG85" i="27"/>
  <c r="Z85" i="27"/>
  <c r="J52" i="27"/>
  <c r="AF85" i="27"/>
  <c r="AE52" i="27"/>
  <c r="V101" i="27"/>
  <c r="U52" i="27"/>
  <c r="S101" i="27"/>
  <c r="C85" i="27"/>
  <c r="V85" i="27"/>
  <c r="O101" i="27"/>
  <c r="AH52" i="27"/>
  <c r="T52" i="27"/>
  <c r="T36" i="27"/>
  <c r="Z36" i="27"/>
  <c r="AA36" i="27"/>
  <c r="S52" i="27"/>
  <c r="B36" i="27"/>
  <c r="M52" i="27"/>
  <c r="V36" i="27"/>
  <c r="M36" i="27"/>
  <c r="E85" i="27"/>
  <c r="AB85" i="27"/>
  <c r="AE85" i="27"/>
  <c r="P85" i="27"/>
  <c r="G85" i="27"/>
  <c r="R85" i="27"/>
  <c r="D52" i="27"/>
  <c r="AA52" i="27"/>
  <c r="C36" i="27"/>
  <c r="O36" i="27"/>
  <c r="AD36" i="27"/>
  <c r="Y36" i="27"/>
  <c r="AE101" i="27"/>
  <c r="D85" i="27"/>
  <c r="Q85" i="27"/>
  <c r="J85" i="27"/>
  <c r="Y85" i="27"/>
  <c r="K85" i="27"/>
  <c r="AF36" i="27"/>
  <c r="AJ101" i="27"/>
  <c r="F101" i="27"/>
  <c r="AN52" i="27"/>
  <c r="Q36" i="27"/>
  <c r="N36" i="27"/>
  <c r="AM36" i="27"/>
  <c r="S36" i="27"/>
  <c r="AL101" i="27"/>
  <c r="Q101" i="27"/>
  <c r="B52" i="27"/>
  <c r="X52" i="27"/>
  <c r="B101" i="27"/>
  <c r="D36" i="27"/>
  <c r="E52" i="27"/>
  <c r="AE36" i="27"/>
  <c r="K36" i="27"/>
  <c r="Z52" i="27"/>
  <c r="A112" i="1"/>
  <c r="A10" i="27" l="1" a="1"/>
  <c r="A10" i="27" s="1"/>
  <c r="A11" i="27" s="1" a="1"/>
  <c r="A97" i="6"/>
  <c r="A113" i="1"/>
  <c r="A98" i="6" l="1"/>
  <c r="A11" i="27"/>
  <c r="A12" i="27" s="1" a="1"/>
  <c r="A12" i="27" s="1"/>
  <c r="A60" i="27" a="1"/>
  <c r="A114" i="1"/>
  <c r="A60" i="27" l="1"/>
  <c r="A61" i="27" s="1" a="1"/>
  <c r="A61" i="27" s="1"/>
  <c r="A62" i="27" s="1" a="1"/>
  <c r="A62" i="27" s="1"/>
  <c r="A13" i="27" a="1"/>
  <c r="A99" i="6"/>
  <c r="A115" i="1"/>
  <c r="A13" i="27" l="1"/>
  <c r="A100" i="6"/>
  <c r="A116" i="1"/>
  <c r="A56" i="26" a="1"/>
  <c r="A23" i="26" a="1"/>
  <c r="A66" i="26" a="1"/>
  <c r="A39" i="26" a="1"/>
  <c r="A83" i="26" a="1"/>
  <c r="A82" i="26" a="1"/>
  <c r="A14" i="27" l="1" a="1"/>
  <c r="A14" i="27" s="1"/>
  <c r="A15" i="27" s="1" a="1"/>
  <c r="A63" i="27" a="1"/>
  <c r="A117" i="1"/>
  <c r="A82" i="26"/>
  <c r="Z34" i="23"/>
  <c r="A83" i="26"/>
  <c r="D34" i="23"/>
  <c r="E34" i="23"/>
  <c r="F34" i="23"/>
  <c r="G34" i="23"/>
  <c r="H34" i="23"/>
  <c r="I34" i="23"/>
  <c r="J34" i="23"/>
  <c r="K34" i="23"/>
  <c r="L34" i="23"/>
  <c r="M34" i="23"/>
  <c r="N34" i="23"/>
  <c r="O34" i="23"/>
  <c r="P34" i="23"/>
  <c r="Q34" i="23"/>
  <c r="R34" i="23"/>
  <c r="S34" i="23"/>
  <c r="T34" i="23"/>
  <c r="U34" i="23"/>
  <c r="V34" i="23"/>
  <c r="W34" i="23"/>
  <c r="X34" i="23"/>
  <c r="Y34" i="23"/>
  <c r="C34" i="23"/>
  <c r="A39" i="26"/>
  <c r="A40" i="26" s="1" a="1"/>
  <c r="A40" i="26" s="1"/>
  <c r="A41" i="26" s="1" a="1"/>
  <c r="A41" i="26" s="1"/>
  <c r="A42" i="26" s="1" a="1"/>
  <c r="A42" i="26" s="1"/>
  <c r="A43" i="26" s="1" a="1"/>
  <c r="A43" i="26" s="1"/>
  <c r="A44" i="26" s="1" a="1"/>
  <c r="A44" i="26" s="1"/>
  <c r="A45" i="26" s="1" a="1"/>
  <c r="A45" i="26" s="1"/>
  <c r="A46" i="26" s="1" a="1"/>
  <c r="A46" i="26" s="1"/>
  <c r="A47" i="26" s="1" a="1"/>
  <c r="A47" i="26" s="1"/>
  <c r="A48" i="26" s="1" a="1"/>
  <c r="A66" i="26"/>
  <c r="A67" i="26" s="1" a="1"/>
  <c r="A67" i="26" s="1"/>
  <c r="A68" i="26" s="1" a="1"/>
  <c r="A68" i="26" s="1"/>
  <c r="A69" i="26" s="1" a="1"/>
  <c r="A69" i="26" s="1"/>
  <c r="A70" i="26" s="1" a="1"/>
  <c r="A70" i="26" s="1"/>
  <c r="A71" i="26" s="1" a="1"/>
  <c r="A71" i="26" s="1"/>
  <c r="A72" i="26" s="1" a="1"/>
  <c r="A23" i="26"/>
  <c r="A24" i="26" s="1" a="1"/>
  <c r="A24" i="26" s="1"/>
  <c r="A25" i="26" s="1" a="1"/>
  <c r="A25" i="26" s="1"/>
  <c r="A26" i="26" s="1" a="1"/>
  <c r="A26" i="26" s="1"/>
  <c r="A27" i="26" s="1" a="1"/>
  <c r="A27" i="26" s="1"/>
  <c r="A28" i="26" s="1" a="1"/>
  <c r="A28" i="26" s="1"/>
  <c r="A29" i="26" s="1" a="1"/>
  <c r="A29" i="26" s="1"/>
  <c r="A30" i="26" s="1" a="1"/>
  <c r="A30" i="26" s="1"/>
  <c r="A31" i="26" s="1" a="1"/>
  <c r="A31" i="26" s="1"/>
  <c r="A32" i="26" s="1" a="1"/>
  <c r="A32" i="26" s="1"/>
  <c r="A33" i="26" s="1" a="1"/>
  <c r="A33" i="26" s="1"/>
  <c r="A34" i="26" s="1" a="1"/>
  <c r="A34" i="26" s="1"/>
  <c r="A35" i="26" s="1" a="1"/>
  <c r="A35" i="26" s="1"/>
  <c r="A56" i="26"/>
  <c r="A57" i="26" s="1" a="1"/>
  <c r="A57" i="26" s="1"/>
  <c r="A58" i="26" s="1" a="1"/>
  <c r="A58" i="26" s="1"/>
  <c r="A59" i="26" s="1" a="1"/>
  <c r="A63" i="27" l="1"/>
  <c r="A64" i="27" s="1" a="1"/>
  <c r="A64" i="27" s="1"/>
  <c r="A65" i="27" s="1" a="1"/>
  <c r="A65" i="27" s="1"/>
  <c r="A15" i="27"/>
  <c r="A118" i="1"/>
  <c r="C7" i="23" a="1"/>
  <c r="C7" i="23" s="1"/>
  <c r="Z63" i="26"/>
  <c r="AA63" i="26"/>
  <c r="Z79" i="26"/>
  <c r="AA79" i="26"/>
  <c r="A48" i="26"/>
  <c r="A49" i="26" s="1" a="1"/>
  <c r="A49" i="26" s="1"/>
  <c r="A50" i="26" s="1" a="1"/>
  <c r="A50" i="26" s="1"/>
  <c r="A51" i="26" s="1" a="1"/>
  <c r="A51" i="26" s="1"/>
  <c r="Y36" i="26"/>
  <c r="Y63" i="26"/>
  <c r="Y79" i="26"/>
  <c r="B63" i="26"/>
  <c r="R63" i="26"/>
  <c r="J63" i="26"/>
  <c r="B36" i="26"/>
  <c r="Q36" i="26"/>
  <c r="I36" i="26"/>
  <c r="B79" i="26"/>
  <c r="Q79" i="26"/>
  <c r="I79" i="26"/>
  <c r="C63" i="26"/>
  <c r="Q63" i="26"/>
  <c r="I63" i="26"/>
  <c r="X36" i="26"/>
  <c r="P36" i="26"/>
  <c r="H36" i="26"/>
  <c r="X79" i="26"/>
  <c r="P79" i="26"/>
  <c r="H79" i="26"/>
  <c r="J36" i="26"/>
  <c r="R79" i="26"/>
  <c r="P63" i="26"/>
  <c r="H63" i="26"/>
  <c r="W36" i="26"/>
  <c r="O36" i="26"/>
  <c r="G36" i="26"/>
  <c r="W79" i="26"/>
  <c r="O79" i="26"/>
  <c r="G79" i="26"/>
  <c r="W63" i="26"/>
  <c r="O63" i="26"/>
  <c r="G63" i="26"/>
  <c r="V36" i="26"/>
  <c r="N36" i="26"/>
  <c r="F36" i="26"/>
  <c r="V79" i="26"/>
  <c r="N79" i="26"/>
  <c r="F79" i="26"/>
  <c r="S63" i="26"/>
  <c r="K63" i="26"/>
  <c r="R36" i="26"/>
  <c r="J79" i="26"/>
  <c r="V63" i="26"/>
  <c r="F63" i="26"/>
  <c r="M36" i="26"/>
  <c r="E36" i="26"/>
  <c r="M79" i="26"/>
  <c r="U63" i="26"/>
  <c r="M63" i="26"/>
  <c r="E63" i="26"/>
  <c r="T36" i="26"/>
  <c r="L36" i="26"/>
  <c r="D36" i="26"/>
  <c r="T79" i="26"/>
  <c r="L79" i="26"/>
  <c r="D79" i="26"/>
  <c r="X63" i="26"/>
  <c r="N63" i="26"/>
  <c r="U36" i="26"/>
  <c r="U79" i="26"/>
  <c r="E79" i="26"/>
  <c r="T63" i="26"/>
  <c r="L63" i="26"/>
  <c r="D63" i="26"/>
  <c r="S36" i="26"/>
  <c r="K36" i="26"/>
  <c r="C36" i="26"/>
  <c r="S79" i="26"/>
  <c r="K79" i="26"/>
  <c r="C79" i="26"/>
  <c r="A59" i="26"/>
  <c r="A60" i="26" s="1" a="1"/>
  <c r="A60" i="26" s="1"/>
  <c r="A61" i="26" s="1" a="1"/>
  <c r="A61" i="26" s="1"/>
  <c r="A72" i="26"/>
  <c r="A73" i="26" s="1" a="1"/>
  <c r="A73" i="26" s="1"/>
  <c r="A74" i="26" s="1" a="1"/>
  <c r="A74" i="26" s="1"/>
  <c r="A75" i="26" s="1" a="1"/>
  <c r="A75" i="26" s="1"/>
  <c r="A76" i="26" s="1" a="1"/>
  <c r="A76" i="26" s="1"/>
  <c r="A77" i="26" s="1" a="1"/>
  <c r="A77" i="26" s="1"/>
  <c r="G110" i="21" l="1" a="1"/>
  <c r="G110" i="21" s="1"/>
  <c r="F28" i="21" a="1"/>
  <c r="F28" i="21" s="1"/>
  <c r="D110" i="21" a="1"/>
  <c r="D110" i="21" s="1"/>
  <c r="D107" i="21" a="1"/>
  <c r="D107" i="21" s="1"/>
  <c r="F37" i="21" a="1"/>
  <c r="F37" i="21" s="1"/>
  <c r="E110" i="21" a="1"/>
  <c r="E110" i="21" s="1"/>
  <c r="A135" i="27" a="1"/>
  <c r="A120" i="27" a="1"/>
  <c r="A105" i="27" a="1"/>
  <c r="A161" i="27" a="1"/>
  <c r="A188" i="27" a="1"/>
  <c r="A178" i="27" a="1"/>
  <c r="A151" i="27" a="1"/>
  <c r="F46" i="21" a="1"/>
  <c r="F46" i="21" s="1"/>
  <c r="F84" i="21" a="1"/>
  <c r="F84" i="21" s="1"/>
  <c r="H16" i="16" a="1"/>
  <c r="H16" i="16" s="1"/>
  <c r="F38" i="21" a="1"/>
  <c r="F38" i="21" s="1"/>
  <c r="H89" i="21" a="1"/>
  <c r="H89" i="21" s="1"/>
  <c r="G98" i="21" a="1"/>
  <c r="G98" i="21" s="1"/>
  <c r="H95" i="21" a="1"/>
  <c r="H95" i="21" s="1"/>
  <c r="F66" i="21" a="1"/>
  <c r="F66" i="21" s="1"/>
  <c r="E94" i="21" a="1"/>
  <c r="E94" i="21" s="1"/>
  <c r="D100" i="21" a="1"/>
  <c r="D100" i="21" s="1"/>
  <c r="D92" i="21" a="1"/>
  <c r="D92" i="21" s="1"/>
  <c r="F50" i="21" a="1"/>
  <c r="F50" i="21" s="1"/>
  <c r="F47" i="21" a="1"/>
  <c r="F47" i="21" s="1"/>
  <c r="A205" i="27" a="1"/>
  <c r="F32" i="21" a="1"/>
  <c r="F32" i="21" s="1"/>
  <c r="F39" i="21" a="1"/>
  <c r="F39" i="21" s="1"/>
  <c r="F33" i="21" a="1"/>
  <c r="F33" i="21" s="1"/>
  <c r="F67" i="21" a="1"/>
  <c r="F67" i="21" s="1"/>
  <c r="D101" i="21" a="1"/>
  <c r="D101" i="21" s="1"/>
  <c r="F95" i="21" a="1"/>
  <c r="F95" i="21" s="1"/>
  <c r="H90" i="21" a="1"/>
  <c r="H90" i="21" s="1"/>
  <c r="G88" i="21" a="1"/>
  <c r="G88" i="21" s="1"/>
  <c r="G104" i="21" a="1"/>
  <c r="G104" i="21" s="1"/>
  <c r="E102" i="21" a="1"/>
  <c r="E102" i="21" s="1"/>
  <c r="H93" i="21" a="1"/>
  <c r="H93" i="21" s="1"/>
  <c r="D89" i="21" a="1"/>
  <c r="D89" i="21" s="1"/>
  <c r="E108" i="21" a="1"/>
  <c r="E108" i="21" s="1"/>
  <c r="F94" i="21" a="1"/>
  <c r="F94" i="21" s="1"/>
  <c r="F35" i="21" a="1"/>
  <c r="F35" i="21" s="1"/>
  <c r="F97" i="21" a="1"/>
  <c r="F97" i="21" s="1"/>
  <c r="F59" i="21" a="1"/>
  <c r="F59" i="21" s="1"/>
  <c r="E109" i="21" a="1"/>
  <c r="E109" i="21" s="1"/>
  <c r="H103" i="21" a="1"/>
  <c r="H103" i="21" s="1"/>
  <c r="F105" i="21" a="1"/>
  <c r="F105" i="21" s="1"/>
  <c r="E98" i="21" a="1"/>
  <c r="E98" i="21" s="1"/>
  <c r="F22" i="21" a="1"/>
  <c r="F22" i="21" s="1"/>
  <c r="G91" i="21" a="1"/>
  <c r="G91" i="21" s="1"/>
  <c r="E90" i="21" a="1"/>
  <c r="E90" i="21" s="1"/>
  <c r="E89" i="21" a="1"/>
  <c r="E89" i="21" s="1"/>
  <c r="F82" i="21" a="1"/>
  <c r="F82" i="21" s="1"/>
  <c r="F98" i="21" a="1"/>
  <c r="F98" i="21" s="1"/>
  <c r="F100" i="21" a="1"/>
  <c r="F100" i="21" s="1"/>
  <c r="H99" i="21" a="1"/>
  <c r="H99" i="21" s="1"/>
  <c r="E91" i="21" a="1"/>
  <c r="E91" i="21" s="1"/>
  <c r="E93" i="21" a="1"/>
  <c r="E93" i="21" s="1"/>
  <c r="G101" i="21" a="1"/>
  <c r="G101" i="21" s="1"/>
  <c r="F24" i="21" a="1"/>
  <c r="F24" i="21" s="1"/>
  <c r="F18" i="21" a="1"/>
  <c r="F18" i="21" s="1"/>
  <c r="G94" i="21" a="1"/>
  <c r="G94" i="21" s="1"/>
  <c r="F108" i="21" a="1"/>
  <c r="F108" i="21" s="1"/>
  <c r="F23" i="21" a="1"/>
  <c r="F23" i="21" s="1"/>
  <c r="F34" i="21" a="1"/>
  <c r="F34" i="21" s="1"/>
  <c r="H98" i="21" a="1"/>
  <c r="H98" i="21" s="1"/>
  <c r="F102" i="21" a="1"/>
  <c r="F102" i="21" s="1"/>
  <c r="E103" i="21" a="1"/>
  <c r="E103" i="21" s="1"/>
  <c r="H105" i="21" a="1"/>
  <c r="H105" i="21" s="1"/>
  <c r="G105" i="21" a="1"/>
  <c r="G105" i="21" s="1"/>
  <c r="G102" i="21" a="1"/>
  <c r="G102" i="21" s="1"/>
  <c r="H101" i="21" a="1"/>
  <c r="H101" i="21" s="1"/>
  <c r="H102" i="21" a="1"/>
  <c r="H102" i="21" s="1"/>
  <c r="F62" i="21" a="1"/>
  <c r="F62" i="21" s="1"/>
  <c r="F74" i="21" a="1"/>
  <c r="F74" i="21" s="1"/>
  <c r="E105" i="21" a="1"/>
  <c r="E105" i="21" s="1"/>
  <c r="F85" i="21" a="1"/>
  <c r="F85" i="21" s="1"/>
  <c r="F65" i="21" a="1"/>
  <c r="F65" i="21" s="1"/>
  <c r="F31" i="21" a="1"/>
  <c r="F31" i="21" s="1"/>
  <c r="E104" i="21" a="1"/>
  <c r="E104" i="21" s="1"/>
  <c r="G106" i="21" a="1"/>
  <c r="G106" i="21" s="1"/>
  <c r="F56" i="21" a="1"/>
  <c r="F56" i="21" s="1"/>
  <c r="E92" i="21" a="1"/>
  <c r="E92" i="21" s="1"/>
  <c r="F63" i="21" a="1"/>
  <c r="F63" i="21" s="1"/>
  <c r="D88" i="21" a="1"/>
  <c r="D88" i="21" s="1"/>
  <c r="F58" i="21" a="1"/>
  <c r="F58" i="21" s="1"/>
  <c r="F92" i="21" a="1"/>
  <c r="F92" i="21" s="1"/>
  <c r="E97" i="21" a="1"/>
  <c r="E97" i="21" s="1"/>
  <c r="F40" i="21" a="1"/>
  <c r="F40" i="21" s="1"/>
  <c r="G92" i="21" a="1"/>
  <c r="G92" i="21" s="1"/>
  <c r="F79" i="21" a="1"/>
  <c r="F79" i="21" s="1"/>
  <c r="D97" i="21" a="1"/>
  <c r="D97" i="21" s="1"/>
  <c r="F21" i="21" a="1"/>
  <c r="F21" i="21" s="1"/>
  <c r="G100" i="21" a="1"/>
  <c r="G100" i="21" s="1"/>
  <c r="F109" i="21" a="1"/>
  <c r="F109" i="21" s="1"/>
  <c r="F29" i="21" a="1"/>
  <c r="F29" i="21" s="1"/>
  <c r="F76" i="21" a="1"/>
  <c r="F76" i="21" s="1"/>
  <c r="F77" i="21" a="1"/>
  <c r="F77" i="21" s="1"/>
  <c r="E106" i="21" a="1"/>
  <c r="E106" i="21" s="1"/>
  <c r="F106" i="21" a="1"/>
  <c r="F106" i="21" s="1"/>
  <c r="D109" i="21" a="1"/>
  <c r="D109" i="21" s="1"/>
  <c r="F101" i="21" a="1"/>
  <c r="F101" i="21" s="1"/>
  <c r="F17" i="21" a="1"/>
  <c r="F17" i="21" s="1"/>
  <c r="F16" i="21" a="1"/>
  <c r="F16" i="21" s="1"/>
  <c r="H16" i="19" a="1"/>
  <c r="H16" i="19" s="1"/>
  <c r="G96" i="21" a="1"/>
  <c r="G96" i="21" s="1"/>
  <c r="D105" i="21" a="1"/>
  <c r="D105" i="21" s="1"/>
  <c r="F48" i="21" a="1"/>
  <c r="F48" i="21" s="1"/>
  <c r="F25" i="21" a="1"/>
  <c r="F25" i="21" s="1"/>
  <c r="F43" i="21" a="1"/>
  <c r="F43" i="21" s="1"/>
  <c r="F75" i="21" a="1"/>
  <c r="F75" i="21" s="1"/>
  <c r="G109" i="21" a="1"/>
  <c r="G109" i="21" s="1"/>
  <c r="F81" i="21" a="1"/>
  <c r="F81" i="21" s="1"/>
  <c r="F57" i="21" a="1"/>
  <c r="F57" i="21" s="1"/>
  <c r="E99" i="21" a="1"/>
  <c r="E99" i="21" s="1"/>
  <c r="G107" i="21" a="1"/>
  <c r="G107" i="21" s="1"/>
  <c r="F16" i="19" a="1"/>
  <c r="F16" i="19" s="1"/>
  <c r="D94" i="21" a="1"/>
  <c r="D94" i="21" s="1"/>
  <c r="F68" i="21" a="1"/>
  <c r="F68" i="21" s="1"/>
  <c r="F44" i="21" a="1"/>
  <c r="F44" i="21" s="1"/>
  <c r="F49" i="21" a="1"/>
  <c r="F49" i="21" s="1"/>
  <c r="F60" i="21" a="1"/>
  <c r="F60" i="21" s="1"/>
  <c r="F52" i="21" a="1"/>
  <c r="F52" i="21" s="1"/>
  <c r="E88" i="21" a="1"/>
  <c r="E88" i="21" s="1"/>
  <c r="H88" i="21" a="1"/>
  <c r="H88" i="21" s="1"/>
  <c r="F86" i="21" a="1"/>
  <c r="F86" i="21" s="1"/>
  <c r="F27" i="21" a="1"/>
  <c r="F27" i="21" s="1"/>
  <c r="F104" i="21" a="1"/>
  <c r="F104" i="21" s="1"/>
  <c r="F41" i="21" a="1"/>
  <c r="F41" i="21" s="1"/>
  <c r="H92" i="21" a="1"/>
  <c r="H92" i="21" s="1"/>
  <c r="F72" i="21" a="1"/>
  <c r="F72" i="21" s="1"/>
  <c r="E107" i="21" a="1"/>
  <c r="E107" i="21" s="1"/>
  <c r="H106" i="21" a="1"/>
  <c r="H106" i="21" s="1"/>
  <c r="F107" i="21" a="1"/>
  <c r="F107" i="21" s="1"/>
  <c r="F78" i="21" a="1"/>
  <c r="F78" i="21" s="1"/>
  <c r="F36" i="21" a="1"/>
  <c r="F36" i="21" s="1"/>
  <c r="F93" i="21" a="1"/>
  <c r="F93" i="21" s="1"/>
  <c r="D99" i="21" a="1"/>
  <c r="D99" i="21" s="1"/>
  <c r="F83" i="21" a="1"/>
  <c r="F83" i="21" s="1"/>
  <c r="F99" i="21" a="1"/>
  <c r="F99" i="21" s="1"/>
  <c r="F53" i="21" a="1"/>
  <c r="F53" i="21" s="1"/>
  <c r="F70" i="21" a="1"/>
  <c r="F70" i="21" s="1"/>
  <c r="F64" i="21" a="1"/>
  <c r="F64" i="21" s="1"/>
  <c r="H91" i="21" a="1"/>
  <c r="H91" i="21" s="1"/>
  <c r="D106" i="21" a="1"/>
  <c r="D106" i="21" s="1"/>
  <c r="F20" i="21" a="1"/>
  <c r="F20" i="21" s="1"/>
  <c r="G90" i="21" a="1"/>
  <c r="G90" i="21" s="1"/>
  <c r="D96" i="21" a="1"/>
  <c r="D96" i="21" s="1"/>
  <c r="F88" i="21" a="1"/>
  <c r="F88" i="21" s="1"/>
  <c r="F42" i="21" a="1"/>
  <c r="F42" i="21" s="1"/>
  <c r="F30" i="21" a="1"/>
  <c r="F30" i="21" s="1"/>
  <c r="G89" i="21" a="1"/>
  <c r="G89" i="21" s="1"/>
  <c r="F55" i="21" a="1"/>
  <c r="F55" i="21" s="1"/>
  <c r="F71" i="21" a="1"/>
  <c r="F71" i="21" s="1"/>
  <c r="F103" i="21" a="1"/>
  <c r="F103" i="21" s="1"/>
  <c r="F19" i="21" a="1"/>
  <c r="F19" i="21" s="1"/>
  <c r="F96" i="21" a="1"/>
  <c r="F96" i="21" s="1"/>
  <c r="G108" i="21" a="1"/>
  <c r="G108" i="21" s="1"/>
  <c r="F91" i="21" a="1"/>
  <c r="F91" i="21" s="1"/>
  <c r="F87" i="21" a="1"/>
  <c r="F87" i="21" s="1"/>
  <c r="E101" i="21" a="1"/>
  <c r="E101" i="21" s="1"/>
  <c r="F26" i="21" a="1"/>
  <c r="F26" i="21" s="1"/>
  <c r="D93" i="21" a="1"/>
  <c r="D93" i="21" s="1"/>
  <c r="H100" i="21" a="1"/>
  <c r="H100" i="21" s="1"/>
  <c r="G97" i="21" a="1"/>
  <c r="G97" i="21" s="1"/>
  <c r="H94" i="21" a="1"/>
  <c r="H94" i="21" s="1"/>
  <c r="H97" i="21" a="1"/>
  <c r="H97" i="21" s="1"/>
  <c r="E95" i="21" a="1"/>
  <c r="E95" i="21" s="1"/>
  <c r="H104" i="21" a="1"/>
  <c r="H104" i="21" s="1"/>
  <c r="F80" i="21" a="1"/>
  <c r="F80" i="21" s="1"/>
  <c r="F89" i="21" a="1"/>
  <c r="F89" i="21" s="1"/>
  <c r="D91" i="21" a="1"/>
  <c r="D91" i="21" s="1"/>
  <c r="F51" i="21" a="1"/>
  <c r="F51" i="21" s="1"/>
  <c r="F69" i="21" a="1"/>
  <c r="F69" i="21" s="1"/>
  <c r="G93" i="21" a="1"/>
  <c r="G93" i="21" s="1"/>
  <c r="F90" i="21" a="1"/>
  <c r="F90" i="21" s="1"/>
  <c r="H96" i="21" a="1"/>
  <c r="H96" i="21" s="1"/>
  <c r="D103" i="21" a="1"/>
  <c r="D103" i="21" s="1"/>
  <c r="E96" i="21" a="1"/>
  <c r="E96" i="21" s="1"/>
  <c r="D98" i="21" a="1"/>
  <c r="D98" i="21" s="1"/>
  <c r="A16" i="27" a="1"/>
  <c r="F73" i="21" a="1"/>
  <c r="F73" i="21" s="1"/>
  <c r="E100" i="21" a="1"/>
  <c r="E100" i="21" s="1"/>
  <c r="D95" i="21" a="1"/>
  <c r="D95" i="21" s="1"/>
  <c r="D104" i="21" a="1"/>
  <c r="D104" i="21" s="1"/>
  <c r="F45" i="21" a="1"/>
  <c r="F45" i="21" s="1"/>
  <c r="F54" i="21" a="1"/>
  <c r="F54" i="21" s="1"/>
  <c r="D108" i="21" a="1"/>
  <c r="D108" i="21" s="1"/>
  <c r="F61" i="21" a="1"/>
  <c r="F61" i="21" s="1"/>
  <c r="A119" i="1"/>
  <c r="J7" i="23" a="1"/>
  <c r="J7" i="23" s="1"/>
  <c r="U15" i="21" a="1"/>
  <c r="U15" i="21" s="1"/>
  <c r="H10" i="20" s="1"/>
  <c r="AA62" i="26"/>
  <c r="AA78" i="26"/>
  <c r="Z78" i="26"/>
  <c r="Z62" i="26"/>
  <c r="R52" i="26"/>
  <c r="S52" i="26"/>
  <c r="F52" i="26"/>
  <c r="O52" i="26"/>
  <c r="P52" i="26"/>
  <c r="B52" i="26"/>
  <c r="Y52" i="26"/>
  <c r="H52" i="26"/>
  <c r="N52" i="26"/>
  <c r="W52" i="26"/>
  <c r="E52" i="26"/>
  <c r="V52" i="26"/>
  <c r="M52" i="26"/>
  <c r="U52" i="26"/>
  <c r="K52" i="26"/>
  <c r="Q52" i="26"/>
  <c r="AA52" i="26"/>
  <c r="I52" i="26"/>
  <c r="G52" i="26"/>
  <c r="X52" i="26"/>
  <c r="D52" i="26"/>
  <c r="L52" i="26"/>
  <c r="C52" i="26"/>
  <c r="T52" i="26"/>
  <c r="J52" i="26"/>
  <c r="Z52" i="26"/>
  <c r="Y78" i="26"/>
  <c r="AA37" i="4" s="1"/>
  <c r="Y62" i="26"/>
  <c r="AA36" i="4" s="1"/>
  <c r="O78" i="26"/>
  <c r="Q37" i="4" s="1"/>
  <c r="P62" i="26"/>
  <c r="R36" i="4" s="1"/>
  <c r="V78" i="26"/>
  <c r="X37" i="4" s="1"/>
  <c r="N78" i="26"/>
  <c r="P37" i="4" s="1"/>
  <c r="F78" i="26"/>
  <c r="H37" i="4" s="1"/>
  <c r="W62" i="26"/>
  <c r="Y36" i="4" s="1"/>
  <c r="O62" i="26"/>
  <c r="Q36" i="4" s="1"/>
  <c r="G62" i="26"/>
  <c r="I36" i="4" s="1"/>
  <c r="W78" i="26"/>
  <c r="Y37" i="4" s="1"/>
  <c r="G78" i="26"/>
  <c r="I37" i="4" s="1"/>
  <c r="H62" i="26"/>
  <c r="J36" i="4" s="1"/>
  <c r="U78" i="26"/>
  <c r="W37" i="4" s="1"/>
  <c r="M78" i="26"/>
  <c r="O37" i="4" s="1"/>
  <c r="E78" i="26"/>
  <c r="G37" i="4" s="1"/>
  <c r="V62" i="26"/>
  <c r="X36" i="4" s="1"/>
  <c r="N62" i="26"/>
  <c r="P36" i="4" s="1"/>
  <c r="F62" i="26"/>
  <c r="H36" i="4" s="1"/>
  <c r="X62" i="26"/>
  <c r="Z36" i="4" s="1"/>
  <c r="T78" i="26"/>
  <c r="V37" i="4" s="1"/>
  <c r="L78" i="26"/>
  <c r="N37" i="4" s="1"/>
  <c r="D78" i="26"/>
  <c r="F37" i="4" s="1"/>
  <c r="U62" i="26"/>
  <c r="W36" i="4" s="1"/>
  <c r="M62" i="26"/>
  <c r="O36" i="4" s="1"/>
  <c r="E62" i="26"/>
  <c r="G36" i="4" s="1"/>
  <c r="S78" i="26"/>
  <c r="U37" i="4" s="1"/>
  <c r="K78" i="26"/>
  <c r="M37" i="4" s="1"/>
  <c r="C78" i="26"/>
  <c r="E37" i="4" s="1"/>
  <c r="T62" i="26"/>
  <c r="V36" i="4" s="1"/>
  <c r="L62" i="26"/>
  <c r="N36" i="4" s="1"/>
  <c r="D62" i="26"/>
  <c r="F36" i="4" s="1"/>
  <c r="S62" i="26"/>
  <c r="U36" i="4" s="1"/>
  <c r="K62" i="26"/>
  <c r="M36" i="4" s="1"/>
  <c r="B78" i="26"/>
  <c r="D37" i="4" s="1"/>
  <c r="Q78" i="26"/>
  <c r="S37" i="4" s="1"/>
  <c r="I78" i="26"/>
  <c r="K37" i="4" s="1"/>
  <c r="B62" i="26"/>
  <c r="D36" i="4" s="1"/>
  <c r="R62" i="26"/>
  <c r="T36" i="4" s="1"/>
  <c r="J62" i="26"/>
  <c r="L36" i="4" s="1"/>
  <c r="R78" i="26"/>
  <c r="T37" i="4" s="1"/>
  <c r="J78" i="26"/>
  <c r="L37" i="4" s="1"/>
  <c r="X78" i="26"/>
  <c r="Z37" i="4" s="1"/>
  <c r="P78" i="26"/>
  <c r="R37" i="4" s="1"/>
  <c r="H78" i="26"/>
  <c r="J37" i="4" s="1"/>
  <c r="C62" i="26"/>
  <c r="E36" i="4" s="1"/>
  <c r="Q62" i="26"/>
  <c r="S36" i="4" s="1"/>
  <c r="I62" i="26"/>
  <c r="K36" i="4" s="1"/>
  <c r="G99" i="21" l="1" a="1"/>
  <c r="G99" i="21" s="1"/>
  <c r="H109" i="21" a="1"/>
  <c r="H109" i="21" s="1"/>
  <c r="H107" i="21" a="1"/>
  <c r="H107" i="21" s="1"/>
  <c r="G95" i="21" a="1"/>
  <c r="G95" i="21" s="1"/>
  <c r="D102" i="21" a="1"/>
  <c r="D102" i="21" s="1"/>
  <c r="G103" i="21" a="1"/>
  <c r="G103" i="21" s="1"/>
  <c r="H108" i="21" a="1"/>
  <c r="H108" i="21" s="1"/>
  <c r="F110" i="21" a="1"/>
  <c r="F110" i="21" s="1"/>
  <c r="D90" i="21" a="1"/>
  <c r="D90" i="21" s="1"/>
  <c r="A66" i="27" a="1"/>
  <c r="H110" i="21" a="1"/>
  <c r="H110" i="21" s="1"/>
  <c r="A205" i="27"/>
  <c r="W84" i="23"/>
  <c r="I84" i="23"/>
  <c r="AB84" i="23"/>
  <c r="AG84" i="23"/>
  <c r="AI84" i="23"/>
  <c r="G84" i="23"/>
  <c r="Y84" i="23"/>
  <c r="V84" i="23"/>
  <c r="C84" i="23"/>
  <c r="E84" i="23"/>
  <c r="N84" i="23"/>
  <c r="AJ84" i="23"/>
  <c r="AK84" i="23"/>
  <c r="Q84" i="23"/>
  <c r="AL84" i="23"/>
  <c r="AF84" i="23"/>
  <c r="AM84" i="23"/>
  <c r="AC84" i="23"/>
  <c r="K84" i="23"/>
  <c r="J84" i="23"/>
  <c r="Z84" i="23"/>
  <c r="O84" i="23"/>
  <c r="U84" i="23"/>
  <c r="S84" i="23"/>
  <c r="H84" i="23"/>
  <c r="F84" i="23"/>
  <c r="AA84" i="23"/>
  <c r="AD84" i="23"/>
  <c r="AE84" i="23"/>
  <c r="D84" i="23"/>
  <c r="AN84" i="23"/>
  <c r="L84" i="23"/>
  <c r="AO84" i="23"/>
  <c r="R84" i="23"/>
  <c r="T84" i="23"/>
  <c r="P84" i="23"/>
  <c r="M84" i="23"/>
  <c r="X84" i="23"/>
  <c r="AH84" i="23"/>
  <c r="A178" i="27"/>
  <c r="A179" i="27" s="1" a="1"/>
  <c r="A179" i="27" s="1"/>
  <c r="A180" i="27" s="1" a="1"/>
  <c r="A180" i="27" s="1"/>
  <c r="A181" i="27" s="1" a="1"/>
  <c r="A16" i="27"/>
  <c r="A17" i="27" s="1" a="1"/>
  <c r="A17" i="27" s="1"/>
  <c r="A18" i="27" s="1" a="1"/>
  <c r="A18" i="27" s="1"/>
  <c r="A19" i="27" s="1" a="1"/>
  <c r="A19" i="27" s="1"/>
  <c r="A188" i="27"/>
  <c r="A189" i="27" s="1" a="1"/>
  <c r="A189" i="27" s="1"/>
  <c r="A190" i="27" s="1" a="1"/>
  <c r="A190" i="27" s="1"/>
  <c r="A191" i="27" s="1" a="1"/>
  <c r="A191" i="27" s="1"/>
  <c r="A192" i="27" s="1" a="1"/>
  <c r="A192" i="27" s="1"/>
  <c r="A193" i="27" s="1" a="1"/>
  <c r="A193" i="27" s="1"/>
  <c r="A194" i="27" s="1" a="1"/>
  <c r="A161" i="27"/>
  <c r="A162" i="27" s="1" a="1"/>
  <c r="A162" i="27" s="1"/>
  <c r="A163" i="27" s="1" a="1"/>
  <c r="A163" i="27" s="1"/>
  <c r="A164" i="27" s="1" a="1"/>
  <c r="A164" i="27" s="1"/>
  <c r="A165" i="27" s="1" a="1"/>
  <c r="A165" i="27" s="1"/>
  <c r="A166" i="27" s="1" a="1"/>
  <c r="A166" i="27" s="1"/>
  <c r="A167" i="27" s="1" a="1"/>
  <c r="A151" i="27"/>
  <c r="A152" i="27" s="1" a="1"/>
  <c r="A152" i="27" s="1"/>
  <c r="A153" i="27" s="1" a="1"/>
  <c r="H158" i="27" s="1"/>
  <c r="A105" i="27"/>
  <c r="A106" i="27" s="1" a="1"/>
  <c r="A106" i="27" s="1"/>
  <c r="A107" i="27" s="1" a="1"/>
  <c r="A107" i="27" s="1"/>
  <c r="A108" i="27" s="1" a="1"/>
  <c r="A108" i="27" s="1"/>
  <c r="A109" i="27" s="1" a="1"/>
  <c r="A109" i="27" s="1"/>
  <c r="A110" i="27" s="1" a="1"/>
  <c r="A110" i="27" s="1"/>
  <c r="A111" i="27" s="1" a="1"/>
  <c r="A111" i="27" s="1"/>
  <c r="A112" i="27" s="1" a="1"/>
  <c r="A112" i="27" s="1"/>
  <c r="A113" i="27" s="1" a="1"/>
  <c r="A113" i="27" s="1"/>
  <c r="A114" i="27" s="1" a="1"/>
  <c r="A114" i="27" s="1"/>
  <c r="A115" i="27" s="1" a="1"/>
  <c r="A115" i="27" s="1"/>
  <c r="A116" i="27" s="1" a="1"/>
  <c r="A120" i="27"/>
  <c r="A121" i="27" s="1" a="1"/>
  <c r="A121" i="27" s="1"/>
  <c r="A122" i="27" s="1" a="1"/>
  <c r="A122" i="27" s="1"/>
  <c r="A123" i="27" s="1" a="1"/>
  <c r="A123" i="27" s="1"/>
  <c r="A124" i="27" s="1" a="1"/>
  <c r="A124" i="27" s="1"/>
  <c r="A125" i="27" s="1" a="1"/>
  <c r="A125" i="27" s="1"/>
  <c r="A126" i="27" s="1" a="1"/>
  <c r="A126" i="27" s="1"/>
  <c r="A127" i="27" s="1" a="1"/>
  <c r="A127" i="27" s="1"/>
  <c r="A128" i="27" s="1" a="1"/>
  <c r="A128" i="27" s="1"/>
  <c r="A129" i="27" s="1" a="1"/>
  <c r="A129" i="27" s="1"/>
  <c r="A130" i="27" s="1" a="1"/>
  <c r="A130" i="27" s="1"/>
  <c r="A131" i="27" s="1" a="1"/>
  <c r="A135" i="27"/>
  <c r="A136" i="27" s="1" a="1"/>
  <c r="A136" i="27" s="1"/>
  <c r="A137" i="27" s="1" a="1"/>
  <c r="A137" i="27" s="1"/>
  <c r="A138" i="27" s="1" a="1"/>
  <c r="A138" i="27" s="1"/>
  <c r="A139" i="27" s="1" a="1"/>
  <c r="A139" i="27" s="1"/>
  <c r="A140" i="27" s="1" a="1"/>
  <c r="A140" i="27" s="1"/>
  <c r="A141" i="27" s="1" a="1"/>
  <c r="A141" i="27" s="1"/>
  <c r="A142" i="27" s="1" a="1"/>
  <c r="A142" i="27" s="1"/>
  <c r="A143" i="27" s="1" a="1"/>
  <c r="A143" i="27" s="1"/>
  <c r="A144" i="27" s="1" a="1"/>
  <c r="A144" i="27" s="1"/>
  <c r="A145" i="27" s="1" a="1"/>
  <c r="A145" i="27" s="1"/>
  <c r="A146" i="27" s="1" a="1"/>
  <c r="A146" i="27" s="1"/>
  <c r="A120" i="1"/>
  <c r="D9" i="4" a="1"/>
  <c r="D9" i="4" s="1"/>
  <c r="E9" i="4" a="1"/>
  <c r="E9" i="4" s="1"/>
  <c r="H9" i="20"/>
  <c r="A66" i="27" l="1"/>
  <c r="A67" i="27" s="1" a="1"/>
  <c r="A67" i="27" s="1"/>
  <c r="A68" i="27" s="1" a="1"/>
  <c r="A68" i="27" s="1"/>
  <c r="N20" i="27"/>
  <c r="P87" i="3" s="1"/>
  <c r="K20" i="27"/>
  <c r="M88" i="3" s="1"/>
  <c r="H20" i="27"/>
  <c r="J87" i="3" s="1"/>
  <c r="E20" i="27"/>
  <c r="G87" i="3" s="1"/>
  <c r="O20" i="27"/>
  <c r="Q88" i="3" s="1"/>
  <c r="AH20" i="27"/>
  <c r="AJ87" i="3" s="1"/>
  <c r="R20" i="27"/>
  <c r="T88" i="3" s="1"/>
  <c r="G20" i="27"/>
  <c r="I87" i="3" s="1"/>
  <c r="AB20" i="27"/>
  <c r="AD88" i="3" s="1"/>
  <c r="B20" i="27"/>
  <c r="D88" i="3" s="1"/>
  <c r="D20" i="27"/>
  <c r="F87" i="3" s="1"/>
  <c r="AA20" i="27"/>
  <c r="AC87" i="3" s="1"/>
  <c r="U20" i="27"/>
  <c r="W87" i="3" s="1"/>
  <c r="P20" i="27"/>
  <c r="R87" i="3" s="1"/>
  <c r="T20" i="27"/>
  <c r="V87" i="3" s="1"/>
  <c r="L20" i="27"/>
  <c r="N87" i="3" s="1"/>
  <c r="Q20" i="27"/>
  <c r="S87" i="3" s="1"/>
  <c r="AF20" i="27"/>
  <c r="AH87" i="3" s="1"/>
  <c r="W20" i="27"/>
  <c r="Y88" i="3" s="1"/>
  <c r="X20" i="27"/>
  <c r="Z87" i="3" s="1"/>
  <c r="V20" i="27"/>
  <c r="X87" i="3" s="1"/>
  <c r="C20" i="27"/>
  <c r="E87" i="3" s="1"/>
  <c r="M20" i="27"/>
  <c r="O87" i="3" s="1"/>
  <c r="AM20" i="27"/>
  <c r="AO87" i="3" s="1"/>
  <c r="Z20" i="27"/>
  <c r="AB88" i="3" s="1"/>
  <c r="AJ20" i="27"/>
  <c r="AL87" i="3" s="1"/>
  <c r="AD20" i="27"/>
  <c r="AF87" i="3" s="1"/>
  <c r="AK20" i="27"/>
  <c r="AM88" i="3" s="1"/>
  <c r="AL20" i="27"/>
  <c r="AN87" i="3" s="1"/>
  <c r="F20" i="27"/>
  <c r="H87" i="3" s="1"/>
  <c r="I20" i="27"/>
  <c r="K88" i="3" s="1"/>
  <c r="AG20" i="27"/>
  <c r="AI87" i="3" s="1"/>
  <c r="S20" i="27"/>
  <c r="U88" i="3" s="1"/>
  <c r="Y20" i="27"/>
  <c r="AA87" i="3" s="1"/>
  <c r="J20" i="27"/>
  <c r="L87" i="3" s="1"/>
  <c r="AE20" i="27"/>
  <c r="AG87" i="3" s="1"/>
  <c r="AC20" i="27"/>
  <c r="AE87" i="3" s="1"/>
  <c r="AN20" i="27"/>
  <c r="AP87" i="3" s="1"/>
  <c r="AI20" i="27"/>
  <c r="AK87" i="3" s="1"/>
  <c r="AN201" i="27"/>
  <c r="R201" i="27"/>
  <c r="B158" i="27"/>
  <c r="S158" i="27"/>
  <c r="D201" i="27"/>
  <c r="N158" i="27"/>
  <c r="C201" i="27"/>
  <c r="M158" i="27"/>
  <c r="D158" i="27"/>
  <c r="B201" i="27"/>
  <c r="G158" i="27"/>
  <c r="V201" i="27"/>
  <c r="AE201" i="27"/>
  <c r="AN158" i="27"/>
  <c r="AK201" i="27"/>
  <c r="AD158" i="27"/>
  <c r="O201" i="27"/>
  <c r="AN132" i="27"/>
  <c r="AJ174" i="27"/>
  <c r="X185" i="27"/>
  <c r="M147" i="27"/>
  <c r="C117" i="27"/>
  <c r="AD174" i="27"/>
  <c r="R132" i="27"/>
  <c r="K174" i="27"/>
  <c r="AB185" i="27"/>
  <c r="M185" i="27"/>
  <c r="AE147" i="27"/>
  <c r="AD147" i="27"/>
  <c r="F147" i="27"/>
  <c r="AB132" i="27"/>
  <c r="AC132" i="27"/>
  <c r="W132" i="27"/>
  <c r="AB117" i="27"/>
  <c r="Z117" i="27"/>
  <c r="AC117" i="27"/>
  <c r="AF158" i="27"/>
  <c r="AH158" i="27"/>
  <c r="AG158" i="27"/>
  <c r="AB174" i="27"/>
  <c r="AC174" i="27"/>
  <c r="AE174" i="27"/>
  <c r="Q201" i="27"/>
  <c r="T201" i="27"/>
  <c r="AJ201" i="27"/>
  <c r="F185" i="27"/>
  <c r="Q185" i="27"/>
  <c r="AG132" i="27"/>
  <c r="AN147" i="27"/>
  <c r="J132" i="27"/>
  <c r="O117" i="27"/>
  <c r="AF174" i="27"/>
  <c r="K185" i="27"/>
  <c r="AG147" i="27"/>
  <c r="A194" i="27"/>
  <c r="A195" i="27" s="1" a="1"/>
  <c r="A195" i="27" s="1"/>
  <c r="A196" i="27" s="1" a="1"/>
  <c r="A196" i="27" s="1"/>
  <c r="A197" i="27" s="1" a="1"/>
  <c r="A197" i="27" s="1"/>
  <c r="A198" i="27" s="1" a="1"/>
  <c r="A198" i="27" s="1"/>
  <c r="A199" i="27" s="1" a="1"/>
  <c r="H185" i="27"/>
  <c r="S185" i="27"/>
  <c r="AD185" i="27"/>
  <c r="C42" i="23" a="1"/>
  <c r="C42" i="23" s="1"/>
  <c r="A167" i="27"/>
  <c r="A168" i="27" s="1" a="1"/>
  <c r="A168" i="27" s="1"/>
  <c r="A169" i="27" s="1" a="1"/>
  <c r="A169" i="27" s="1"/>
  <c r="A170" i="27" s="1" a="1"/>
  <c r="A170" i="27" s="1"/>
  <c r="A171" i="27" s="1" a="1"/>
  <c r="A171" i="27" s="1"/>
  <c r="A172" i="27" s="1" a="1"/>
  <c r="AD201" i="27"/>
  <c r="K201" i="27"/>
  <c r="AK147" i="27"/>
  <c r="V147" i="27"/>
  <c r="Y147" i="27"/>
  <c r="AK132" i="27"/>
  <c r="O132" i="27"/>
  <c r="D132" i="27"/>
  <c r="AM117" i="27"/>
  <c r="G117" i="27"/>
  <c r="U117" i="27"/>
  <c r="Q158" i="27"/>
  <c r="AK158" i="27"/>
  <c r="AB158" i="27"/>
  <c r="Q174" i="27"/>
  <c r="T174" i="27"/>
  <c r="U201" i="27"/>
  <c r="AB201" i="27"/>
  <c r="AC185" i="27"/>
  <c r="J185" i="27"/>
  <c r="Z185" i="27"/>
  <c r="W147" i="27"/>
  <c r="I117" i="27"/>
  <c r="AJ185" i="27"/>
  <c r="AJ147" i="27"/>
  <c r="M174" i="27"/>
  <c r="AH185" i="27"/>
  <c r="O147" i="27"/>
  <c r="AK117" i="27"/>
  <c r="AM174" i="27"/>
  <c r="F158" i="27"/>
  <c r="A153" i="27"/>
  <c r="A154" i="27" s="1" a="1"/>
  <c r="L174" i="27"/>
  <c r="AH174" i="27"/>
  <c r="L201" i="27"/>
  <c r="F201" i="27"/>
  <c r="AE185" i="27"/>
  <c r="W185" i="27"/>
  <c r="Y185" i="27"/>
  <c r="AO117" i="27"/>
  <c r="H254" i="32"/>
  <c r="G204" i="32"/>
  <c r="AD205" i="32"/>
  <c r="I205" i="32"/>
  <c r="AP254" i="32"/>
  <c r="AF205" i="32"/>
  <c r="Z205" i="32"/>
  <c r="V205" i="32"/>
  <c r="AM205" i="32"/>
  <c r="E204" i="32"/>
  <c r="J204" i="32"/>
  <c r="P205" i="32"/>
  <c r="K204" i="32"/>
  <c r="AF254" i="32"/>
  <c r="AL254" i="32"/>
  <c r="AF204" i="32"/>
  <c r="Y205" i="32"/>
  <c r="U204" i="32"/>
  <c r="S254" i="32"/>
  <c r="AJ205" i="32"/>
  <c r="AG204" i="32"/>
  <c r="R204" i="32"/>
  <c r="D204" i="32"/>
  <c r="D205" i="32"/>
  <c r="V254" i="32"/>
  <c r="AC204" i="32"/>
  <c r="U254" i="32"/>
  <c r="AK204" i="32"/>
  <c r="AO254" i="32"/>
  <c r="Q204" i="32"/>
  <c r="Q254" i="32"/>
  <c r="Q205" i="32"/>
  <c r="T204" i="32"/>
  <c r="AK254" i="32"/>
  <c r="W205" i="32"/>
  <c r="O205" i="32"/>
  <c r="AM204" i="32"/>
  <c r="I254" i="32"/>
  <c r="A116" i="27"/>
  <c r="AC205" i="32"/>
  <c r="AN204" i="32"/>
  <c r="E205" i="32"/>
  <c r="AH204" i="32"/>
  <c r="AI205" i="32"/>
  <c r="L254" i="32"/>
  <c r="AG205" i="32"/>
  <c r="F204" i="32"/>
  <c r="E254" i="32"/>
  <c r="AJ204" i="32"/>
  <c r="U205" i="32"/>
  <c r="F205" i="32"/>
  <c r="Z204" i="32"/>
  <c r="AG254" i="32"/>
  <c r="L204" i="32"/>
  <c r="AO205" i="32"/>
  <c r="W254" i="32"/>
  <c r="AB205" i="32"/>
  <c r="T205" i="32"/>
  <c r="AI254" i="32"/>
  <c r="D254" i="32"/>
  <c r="N204" i="32"/>
  <c r="AE254" i="32"/>
  <c r="AB204" i="32"/>
  <c r="R254" i="32"/>
  <c r="G205" i="32"/>
  <c r="I204" i="32"/>
  <c r="Z254" i="32"/>
  <c r="X205" i="32"/>
  <c r="AE205" i="32"/>
  <c r="AK205" i="32"/>
  <c r="H204" i="32"/>
  <c r="AA254" i="32"/>
  <c r="N254" i="32"/>
  <c r="AD204" i="32"/>
  <c r="W204" i="32"/>
  <c r="K205" i="32"/>
  <c r="O204" i="32"/>
  <c r="AD254" i="32"/>
  <c r="T254" i="32"/>
  <c r="S204" i="32"/>
  <c r="Y254" i="32"/>
  <c r="F254" i="32"/>
  <c r="AH254" i="32"/>
  <c r="R205" i="32"/>
  <c r="AP205" i="32"/>
  <c r="AL205" i="32"/>
  <c r="N205" i="32"/>
  <c r="H205" i="32"/>
  <c r="X254" i="32"/>
  <c r="AA204" i="32"/>
  <c r="AJ254" i="32"/>
  <c r="P204" i="32"/>
  <c r="J254" i="32"/>
  <c r="Y204" i="32"/>
  <c r="AE204" i="32"/>
  <c r="P254" i="32"/>
  <c r="K254" i="32"/>
  <c r="AP204" i="32"/>
  <c r="L205" i="32"/>
  <c r="M205" i="32"/>
  <c r="V204" i="32"/>
  <c r="G254" i="32"/>
  <c r="AO204" i="32"/>
  <c r="AI204" i="32"/>
  <c r="M204" i="32"/>
  <c r="AN205" i="32"/>
  <c r="AC254" i="32"/>
  <c r="AN254" i="32"/>
  <c r="J205" i="32"/>
  <c r="AB254" i="32"/>
  <c r="AM254" i="32"/>
  <c r="AL204" i="32"/>
  <c r="M254" i="32"/>
  <c r="AA205" i="32"/>
  <c r="O254" i="32"/>
  <c r="AH205" i="32"/>
  <c r="X204" i="32"/>
  <c r="S205" i="32"/>
  <c r="W158" i="27"/>
  <c r="AJ158" i="27"/>
  <c r="G174" i="27"/>
  <c r="AN174" i="27"/>
  <c r="AI174" i="27"/>
  <c r="E201" i="27"/>
  <c r="AM201" i="27"/>
  <c r="S201" i="27"/>
  <c r="B185" i="27"/>
  <c r="D185" i="27"/>
  <c r="AG185" i="27"/>
  <c r="AL132" i="27"/>
  <c r="E132" i="27"/>
  <c r="Y117" i="27"/>
  <c r="Q117" i="27"/>
  <c r="I158" i="27"/>
  <c r="AA158" i="27"/>
  <c r="O174" i="27"/>
  <c r="AL174" i="27"/>
  <c r="F174" i="27"/>
  <c r="N201" i="27"/>
  <c r="W201" i="27"/>
  <c r="X201" i="27"/>
  <c r="V185" i="27"/>
  <c r="L185" i="27"/>
  <c r="C185" i="27"/>
  <c r="P147" i="27"/>
  <c r="X117" i="27"/>
  <c r="J174" i="27"/>
  <c r="AA132" i="27"/>
  <c r="D147" i="27"/>
  <c r="AI132" i="27"/>
  <c r="AG117" i="27"/>
  <c r="T158" i="27"/>
  <c r="H147" i="27"/>
  <c r="J117" i="27"/>
  <c r="J147" i="27"/>
  <c r="S147" i="27"/>
  <c r="N117" i="27"/>
  <c r="AM158" i="27"/>
  <c r="X158" i="27"/>
  <c r="B174" i="27"/>
  <c r="D174" i="27"/>
  <c r="C174" i="27"/>
  <c r="AH201" i="27"/>
  <c r="H201" i="27"/>
  <c r="AF201" i="27"/>
  <c r="N185" i="27"/>
  <c r="AM185" i="27"/>
  <c r="AF185" i="27"/>
  <c r="Y132" i="27"/>
  <c r="A131" i="27"/>
  <c r="X132" i="27"/>
  <c r="AM147" i="27"/>
  <c r="N147" i="27"/>
  <c r="T132" i="27"/>
  <c r="AD132" i="27"/>
  <c r="B117" i="27"/>
  <c r="S117" i="27"/>
  <c r="D117" i="27"/>
  <c r="AI158" i="27"/>
  <c r="K158" i="27"/>
  <c r="L158" i="27"/>
  <c r="U174" i="27"/>
  <c r="W174" i="27"/>
  <c r="AK174" i="27"/>
  <c r="AC201" i="27"/>
  <c r="AI201" i="27"/>
  <c r="G201" i="27"/>
  <c r="AN185" i="27"/>
  <c r="E185" i="27"/>
  <c r="P185" i="27"/>
  <c r="A181" i="27"/>
  <c r="A182" i="27" s="1" a="1"/>
  <c r="A182" i="27" s="1"/>
  <c r="A183" i="27" s="1" a="1"/>
  <c r="AG184" i="27" s="1"/>
  <c r="W117" i="27"/>
  <c r="I147" i="27"/>
  <c r="P117" i="27"/>
  <c r="AG174" i="27"/>
  <c r="AM132" i="27"/>
  <c r="AD117" i="27"/>
  <c r="AA117" i="27"/>
  <c r="T147" i="27"/>
  <c r="AH147" i="27"/>
  <c r="C132" i="27"/>
  <c r="F117" i="27"/>
  <c r="AL147" i="27"/>
  <c r="K132" i="27"/>
  <c r="AF147" i="27"/>
  <c r="AJ117" i="27"/>
  <c r="R158" i="27"/>
  <c r="E158" i="27"/>
  <c r="C158" i="27"/>
  <c r="V174" i="27"/>
  <c r="S174" i="27"/>
  <c r="P201" i="27"/>
  <c r="Y201" i="27"/>
  <c r="I201" i="27"/>
  <c r="G88" i="3"/>
  <c r="U185" i="27"/>
  <c r="AL185" i="27"/>
  <c r="I185" i="27"/>
  <c r="X147" i="27"/>
  <c r="L117" i="27"/>
  <c r="R174" i="27"/>
  <c r="AK185" i="27"/>
  <c r="S132" i="27"/>
  <c r="P132" i="27"/>
  <c r="G132" i="27"/>
  <c r="AI117" i="27"/>
  <c r="O158" i="27"/>
  <c r="G147" i="27"/>
  <c r="AE132" i="27"/>
  <c r="AE158" i="27"/>
  <c r="AF117" i="27"/>
  <c r="AA147" i="27"/>
  <c r="AF132" i="27"/>
  <c r="H117" i="27"/>
  <c r="AI147" i="27"/>
  <c r="AN117" i="27"/>
  <c r="P158" i="27"/>
  <c r="Z158" i="27"/>
  <c r="Z174" i="27"/>
  <c r="Y174" i="27"/>
  <c r="X174" i="27"/>
  <c r="M201" i="27"/>
  <c r="J201" i="27"/>
  <c r="Z201" i="27"/>
  <c r="O185" i="27"/>
  <c r="R185" i="27"/>
  <c r="AA185" i="27"/>
  <c r="Q132" i="27"/>
  <c r="B132" i="27"/>
  <c r="AE117" i="27"/>
  <c r="E147" i="27"/>
  <c r="AH117" i="27"/>
  <c r="P174" i="27"/>
  <c r="C147" i="27"/>
  <c r="AJ132" i="27"/>
  <c r="AL158" i="27"/>
  <c r="E174" i="27"/>
  <c r="U147" i="27"/>
  <c r="F132" i="27"/>
  <c r="Y158" i="27"/>
  <c r="AB147" i="27"/>
  <c r="H132" i="27"/>
  <c r="T117" i="27"/>
  <c r="B147" i="27"/>
  <c r="R147" i="27"/>
  <c r="U132" i="27"/>
  <c r="M132" i="27"/>
  <c r="M117" i="27"/>
  <c r="N174" i="27"/>
  <c r="AC147" i="27"/>
  <c r="L147" i="27"/>
  <c r="AH132" i="27"/>
  <c r="Z132" i="27"/>
  <c r="N132" i="27"/>
  <c r="E117" i="27"/>
  <c r="AL117" i="27"/>
  <c r="J158" i="27"/>
  <c r="Q147" i="27"/>
  <c r="Z147" i="27"/>
  <c r="K147" i="27"/>
  <c r="L132" i="27"/>
  <c r="I132" i="27"/>
  <c r="V132" i="27"/>
  <c r="V117" i="27"/>
  <c r="R117" i="27"/>
  <c r="K117" i="27"/>
  <c r="V158" i="27"/>
  <c r="AC158" i="27"/>
  <c r="U158" i="27"/>
  <c r="AA174" i="27"/>
  <c r="I174" i="27"/>
  <c r="H174" i="27"/>
  <c r="AG201" i="27"/>
  <c r="AA201" i="27"/>
  <c r="AL201" i="27"/>
  <c r="AI185" i="27"/>
  <c r="G185" i="27"/>
  <c r="T185" i="27"/>
  <c r="A121" i="1"/>
  <c r="J9" i="4" a="1"/>
  <c r="J9" i="4" s="1"/>
  <c r="A8" i="5" s="1" a="1"/>
  <c r="A8" i="5" s="1"/>
  <c r="B69" i="27" l="1"/>
  <c r="D100" i="32" s="1"/>
  <c r="V69" i="27"/>
  <c r="X101" i="32" s="1"/>
  <c r="P69" i="27"/>
  <c r="R100" i="32" s="1"/>
  <c r="I69" i="27"/>
  <c r="K101" i="32" s="1"/>
  <c r="F69" i="27"/>
  <c r="H101" i="32" s="1"/>
  <c r="AG69" i="27"/>
  <c r="AI100" i="32" s="1"/>
  <c r="S69" i="27"/>
  <c r="U101" i="32" s="1"/>
  <c r="W69" i="27"/>
  <c r="Y100" i="32" s="1"/>
  <c r="Q69" i="27"/>
  <c r="S100" i="32" s="1"/>
  <c r="L69" i="27"/>
  <c r="N100" i="32" s="1"/>
  <c r="M69" i="27"/>
  <c r="O101" i="32" s="1"/>
  <c r="X69" i="27"/>
  <c r="Z100" i="32" s="1"/>
  <c r="AK69" i="27"/>
  <c r="AM101" i="32" s="1"/>
  <c r="C69" i="27"/>
  <c r="E100" i="32" s="1"/>
  <c r="AC69" i="27"/>
  <c r="AE101" i="32" s="1"/>
  <c r="AD69" i="27"/>
  <c r="AF101" i="32" s="1"/>
  <c r="AE69" i="27"/>
  <c r="AG100" i="32" s="1"/>
  <c r="AN69" i="27"/>
  <c r="AP101" i="32" s="1"/>
  <c r="D69" i="27"/>
  <c r="F101" i="32" s="1"/>
  <c r="AF69" i="27"/>
  <c r="AH101" i="32" s="1"/>
  <c r="AA69" i="27"/>
  <c r="AC101" i="32" s="1"/>
  <c r="E69" i="27"/>
  <c r="G100" i="32" s="1"/>
  <c r="AI69" i="27"/>
  <c r="AK101" i="32" s="1"/>
  <c r="K69" i="27"/>
  <c r="M101" i="32" s="1"/>
  <c r="R69" i="27"/>
  <c r="T101" i="32" s="1"/>
  <c r="H69" i="27"/>
  <c r="J100" i="32" s="1"/>
  <c r="AB69" i="27"/>
  <c r="AD100" i="32" s="1"/>
  <c r="J69" i="27"/>
  <c r="L101" i="32" s="1"/>
  <c r="AJ69" i="27"/>
  <c r="AL101" i="32" s="1"/>
  <c r="AH69" i="27"/>
  <c r="AJ100" i="32" s="1"/>
  <c r="O69" i="27"/>
  <c r="Q101" i="32" s="1"/>
  <c r="AM69" i="27"/>
  <c r="AO101" i="32" s="1"/>
  <c r="G69" i="27"/>
  <c r="I100" i="32" s="1"/>
  <c r="Z69" i="27"/>
  <c r="AB101" i="32" s="1"/>
  <c r="Y69" i="27"/>
  <c r="AA101" i="32" s="1"/>
  <c r="N69" i="27"/>
  <c r="P100" i="32" s="1"/>
  <c r="T69" i="27"/>
  <c r="V100" i="32" s="1"/>
  <c r="AL69" i="27"/>
  <c r="AN100" i="32" s="1"/>
  <c r="U69" i="27"/>
  <c r="W101" i="32" s="1"/>
  <c r="J88" i="3"/>
  <c r="V88" i="3"/>
  <c r="N88" i="3"/>
  <c r="P88" i="3"/>
  <c r="M87" i="3"/>
  <c r="AH88" i="3"/>
  <c r="AI88" i="3"/>
  <c r="AD87" i="3"/>
  <c r="T87" i="3"/>
  <c r="E88" i="3"/>
  <c r="H88" i="3"/>
  <c r="Y87" i="3"/>
  <c r="AJ88" i="3"/>
  <c r="AA88" i="3"/>
  <c r="L88" i="3"/>
  <c r="Z88" i="3"/>
  <c r="Q87" i="3"/>
  <c r="I88" i="3"/>
  <c r="AE88" i="3"/>
  <c r="D87" i="3"/>
  <c r="AG88" i="3"/>
  <c r="U87" i="3"/>
  <c r="AC88" i="3"/>
  <c r="R88" i="3"/>
  <c r="AI152" i="32"/>
  <c r="X88" i="3"/>
  <c r="AP88" i="3"/>
  <c r="AF88" i="3"/>
  <c r="AO88" i="3"/>
  <c r="W88" i="3"/>
  <c r="F88" i="3"/>
  <c r="S88" i="3"/>
  <c r="AM87" i="3"/>
  <c r="AB87" i="3"/>
  <c r="O88" i="3"/>
  <c r="K87" i="3"/>
  <c r="AL88" i="3"/>
  <c r="AK88" i="3"/>
  <c r="AN88" i="3"/>
  <c r="AD200" i="27"/>
  <c r="AF153" i="32" s="1"/>
  <c r="G200" i="27"/>
  <c r="I153" i="32" s="1"/>
  <c r="AI200" i="27"/>
  <c r="AK153" i="32" s="1"/>
  <c r="Z200" i="27"/>
  <c r="AB153" i="32" s="1"/>
  <c r="N184" i="27"/>
  <c r="P152" i="32" s="1"/>
  <c r="E200" i="27"/>
  <c r="G153" i="32" s="1"/>
  <c r="V200" i="27"/>
  <c r="X153" i="32" s="1"/>
  <c r="W184" i="27"/>
  <c r="Y152" i="32" s="1"/>
  <c r="AG200" i="27"/>
  <c r="AI153" i="32" s="1"/>
  <c r="X200" i="27"/>
  <c r="Z153" i="32" s="1"/>
  <c r="V184" i="27"/>
  <c r="X152" i="32" s="1"/>
  <c r="AK200" i="27"/>
  <c r="AM153" i="32" s="1"/>
  <c r="H200" i="27"/>
  <c r="J153" i="32" s="1"/>
  <c r="AL200" i="27"/>
  <c r="AN153" i="32" s="1"/>
  <c r="Y184" i="27"/>
  <c r="AA152" i="32" s="1"/>
  <c r="I200" i="27"/>
  <c r="K153" i="32" s="1"/>
  <c r="P200" i="27"/>
  <c r="R153" i="32" s="1"/>
  <c r="Z173" i="27"/>
  <c r="AB89" i="4" s="1"/>
  <c r="W200" i="27"/>
  <c r="Y153" i="32" s="1"/>
  <c r="J173" i="27"/>
  <c r="L89" i="4" s="1"/>
  <c r="E173" i="27"/>
  <c r="G89" i="4" s="1"/>
  <c r="U173" i="27"/>
  <c r="W89" i="4" s="1"/>
  <c r="I184" i="27"/>
  <c r="K152" i="32" s="1"/>
  <c r="Z184" i="27"/>
  <c r="AB152" i="32" s="1"/>
  <c r="AC184" i="27"/>
  <c r="AE152" i="32" s="1"/>
  <c r="V173" i="27"/>
  <c r="X89" i="4" s="1"/>
  <c r="H50" i="32"/>
  <c r="H51" i="32"/>
  <c r="E184" i="27"/>
  <c r="G152" i="32" s="1"/>
  <c r="AA184" i="27"/>
  <c r="AC152" i="32" s="1"/>
  <c r="AN184" i="27"/>
  <c r="AP152" i="32" s="1"/>
  <c r="F50" i="32"/>
  <c r="F51" i="32"/>
  <c r="Z50" i="32"/>
  <c r="Z51" i="32"/>
  <c r="D212" i="32" a="1"/>
  <c r="D212" i="32" s="1"/>
  <c r="I212" i="32" s="1" a="1"/>
  <c r="W173" i="27"/>
  <c r="Y89" i="4" s="1"/>
  <c r="Q173" i="27"/>
  <c r="S89" i="4" s="1"/>
  <c r="D200" i="27"/>
  <c r="F153" i="32" s="1"/>
  <c r="AA200" i="27"/>
  <c r="AC153" i="32" s="1"/>
  <c r="O200" i="27"/>
  <c r="Q153" i="32" s="1"/>
  <c r="AA173" i="27"/>
  <c r="AC89" i="4" s="1"/>
  <c r="A172" i="27"/>
  <c r="C184" i="27"/>
  <c r="E152" i="32" s="1"/>
  <c r="J42" i="23" a="1"/>
  <c r="J42" i="23" s="1"/>
  <c r="Q15" i="21" a="1"/>
  <c r="M51" i="32"/>
  <c r="M50" i="32"/>
  <c r="AP51" i="32"/>
  <c r="AP50" i="32"/>
  <c r="AD184" i="27"/>
  <c r="AF152" i="32" s="1"/>
  <c r="X184" i="27"/>
  <c r="Z152" i="32" s="1"/>
  <c r="AL184" i="27"/>
  <c r="AN152" i="32" s="1"/>
  <c r="U51" i="32"/>
  <c r="U50" i="32"/>
  <c r="K51" i="32"/>
  <c r="K50" i="32"/>
  <c r="T173" i="27"/>
  <c r="V89" i="4" s="1"/>
  <c r="AI173" i="27"/>
  <c r="AK89" i="4" s="1"/>
  <c r="M200" i="27"/>
  <c r="O153" i="32" s="1"/>
  <c r="AN200" i="27"/>
  <c r="AP153" i="32" s="1"/>
  <c r="C200" i="27"/>
  <c r="E153" i="32" s="1"/>
  <c r="AN51" i="32"/>
  <c r="AN50" i="32"/>
  <c r="AK173" i="27"/>
  <c r="AM89" i="4" s="1"/>
  <c r="P50" i="32"/>
  <c r="P51" i="32"/>
  <c r="T51" i="32"/>
  <c r="T50" i="32"/>
  <c r="L184" i="27"/>
  <c r="N152" i="32" s="1"/>
  <c r="F184" i="27"/>
  <c r="H152" i="32" s="1"/>
  <c r="AM184" i="27"/>
  <c r="AO152" i="32" s="1"/>
  <c r="D51" i="32"/>
  <c r="D50" i="32"/>
  <c r="L51" i="32"/>
  <c r="L50" i="32"/>
  <c r="D173" i="27"/>
  <c r="F89" i="4" s="1"/>
  <c r="AE173" i="27"/>
  <c r="AG89" i="4" s="1"/>
  <c r="AM173" i="27"/>
  <c r="AO89" i="4" s="1"/>
  <c r="AE200" i="27"/>
  <c r="AG153" i="32" s="1"/>
  <c r="R200" i="27"/>
  <c r="T153" i="32" s="1"/>
  <c r="U200" i="27"/>
  <c r="W153" i="32" s="1"/>
  <c r="AE51" i="32"/>
  <c r="AE50" i="32"/>
  <c r="AF200" i="27"/>
  <c r="AH153" i="32" s="1"/>
  <c r="A199" i="27"/>
  <c r="AB51" i="32"/>
  <c r="AB50" i="32"/>
  <c r="A154" i="27"/>
  <c r="A155" i="27" s="1" a="1"/>
  <c r="A155" i="27" s="1"/>
  <c r="A156" i="27" s="1" a="1"/>
  <c r="N173" i="27"/>
  <c r="P89" i="4" s="1"/>
  <c r="C173" i="27"/>
  <c r="E89" i="4" s="1"/>
  <c r="R173" i="27"/>
  <c r="T89" i="4" s="1"/>
  <c r="T200" i="27"/>
  <c r="V153" i="32" s="1"/>
  <c r="L200" i="27"/>
  <c r="N153" i="32" s="1"/>
  <c r="AD50" i="32"/>
  <c r="AD51" i="32"/>
  <c r="E50" i="32"/>
  <c r="E51" i="32"/>
  <c r="AN173" i="27"/>
  <c r="AP89" i="4" s="1"/>
  <c r="X51" i="32"/>
  <c r="X50" i="32"/>
  <c r="P184" i="27"/>
  <c r="R152" i="32" s="1"/>
  <c r="I173" i="27"/>
  <c r="K89" i="4" s="1"/>
  <c r="O50" i="32"/>
  <c r="O51" i="32"/>
  <c r="AF50" i="32"/>
  <c r="AF51" i="32"/>
  <c r="M184" i="27"/>
  <c r="O152" i="32" s="1"/>
  <c r="AK184" i="27"/>
  <c r="AM152" i="32" s="1"/>
  <c r="AI50" i="32"/>
  <c r="AI51" i="32"/>
  <c r="S50" i="32"/>
  <c r="S51" i="32"/>
  <c r="W51" i="32"/>
  <c r="W50" i="32"/>
  <c r="F173" i="27"/>
  <c r="H89" i="4" s="1"/>
  <c r="AD173" i="27"/>
  <c r="AF89" i="4" s="1"/>
  <c r="K173" i="27"/>
  <c r="M89" i="4" s="1"/>
  <c r="K200" i="27"/>
  <c r="M153" i="32" s="1"/>
  <c r="S200" i="27"/>
  <c r="U153" i="32" s="1"/>
  <c r="Y51" i="32"/>
  <c r="Y50" i="32"/>
  <c r="G184" i="27"/>
  <c r="I152" i="32" s="1"/>
  <c r="AL173" i="27"/>
  <c r="AN89" i="4" s="1"/>
  <c r="AC51" i="32"/>
  <c r="AC50" i="32"/>
  <c r="AB184" i="27"/>
  <c r="AD152" i="32" s="1"/>
  <c r="B184" i="27"/>
  <c r="D152" i="32" s="1"/>
  <c r="S184" i="27"/>
  <c r="U152" i="32" s="1"/>
  <c r="N50" i="32"/>
  <c r="N51" i="32"/>
  <c r="T184" i="27"/>
  <c r="V152" i="32" s="1"/>
  <c r="AH51" i="32"/>
  <c r="AH50" i="32"/>
  <c r="R184" i="27"/>
  <c r="T152" i="32" s="1"/>
  <c r="AF184" i="27"/>
  <c r="AH152" i="32" s="1"/>
  <c r="J184" i="27"/>
  <c r="L152" i="32" s="1"/>
  <c r="AA50" i="32"/>
  <c r="AA51" i="32"/>
  <c r="I50" i="32"/>
  <c r="I51" i="32"/>
  <c r="AB173" i="27"/>
  <c r="AD89" i="4" s="1"/>
  <c r="Y173" i="27"/>
  <c r="AA89" i="4" s="1"/>
  <c r="O173" i="27"/>
  <c r="Q89" i="4" s="1"/>
  <c r="AJ200" i="27"/>
  <c r="AL153" i="32" s="1"/>
  <c r="J200" i="27"/>
  <c r="L153" i="32" s="1"/>
  <c r="B173" i="27"/>
  <c r="D89" i="4" s="1"/>
  <c r="G50" i="32"/>
  <c r="G51" i="32"/>
  <c r="J50" i="32"/>
  <c r="J51" i="32"/>
  <c r="AE184" i="27"/>
  <c r="AG152" i="32" s="1"/>
  <c r="Q184" i="27"/>
  <c r="S152" i="32" s="1"/>
  <c r="O184" i="27"/>
  <c r="Q152" i="32" s="1"/>
  <c r="AM50" i="32"/>
  <c r="AM51" i="32"/>
  <c r="AO50" i="32"/>
  <c r="AO51" i="32"/>
  <c r="G173" i="27"/>
  <c r="I89" i="4" s="1"/>
  <c r="AG173" i="27"/>
  <c r="AI89" i="4" s="1"/>
  <c r="X173" i="27"/>
  <c r="Z89" i="4" s="1"/>
  <c r="N200" i="27"/>
  <c r="P153" i="32" s="1"/>
  <c r="AM200" i="27"/>
  <c r="AO153" i="32" s="1"/>
  <c r="Y200" i="27"/>
  <c r="AA153" i="32" s="1"/>
  <c r="AJ50" i="32"/>
  <c r="AJ51" i="32"/>
  <c r="AH184" i="27"/>
  <c r="AJ152" i="32" s="1"/>
  <c r="R51" i="32"/>
  <c r="R50" i="32"/>
  <c r="D184" i="27"/>
  <c r="F152" i="32" s="1"/>
  <c r="H184" i="27"/>
  <c r="J152" i="32" s="1"/>
  <c r="AJ184" i="27"/>
  <c r="AL152" i="32" s="1"/>
  <c r="AJ173" i="27"/>
  <c r="AL89" i="4" s="1"/>
  <c r="M173" i="27"/>
  <c r="O89" i="4" s="1"/>
  <c r="H173" i="27"/>
  <c r="J89" i="4" s="1"/>
  <c r="AH200" i="27"/>
  <c r="AJ153" i="32" s="1"/>
  <c r="B200" i="27"/>
  <c r="D153" i="32" s="1"/>
  <c r="Q200" i="27"/>
  <c r="S153" i="32" s="1"/>
  <c r="AK51" i="32"/>
  <c r="AK50" i="32"/>
  <c r="AG51" i="32"/>
  <c r="AG50" i="32"/>
  <c r="AI184" i="27"/>
  <c r="AK152" i="32" s="1"/>
  <c r="A183" i="27"/>
  <c r="D161" i="32" a="1"/>
  <c r="D161" i="32" s="1"/>
  <c r="I161" i="32" s="1" a="1"/>
  <c r="AF173" i="27"/>
  <c r="AH89" i="4" s="1"/>
  <c r="L173" i="27"/>
  <c r="N89" i="4" s="1"/>
  <c r="S173" i="27"/>
  <c r="U89" i="4" s="1"/>
  <c r="Q50" i="32"/>
  <c r="Q51" i="32"/>
  <c r="V51" i="32"/>
  <c r="V50" i="32"/>
  <c r="AL51" i="32"/>
  <c r="AL50" i="32"/>
  <c r="K184" i="27"/>
  <c r="M152" i="32" s="1"/>
  <c r="U184" i="27"/>
  <c r="W152" i="32" s="1"/>
  <c r="P173" i="27"/>
  <c r="R89" i="4" s="1"/>
  <c r="AH173" i="27"/>
  <c r="AJ89" i="4" s="1"/>
  <c r="AC173" i="27"/>
  <c r="AE89" i="4" s="1"/>
  <c r="AC200" i="27"/>
  <c r="AE153" i="32" s="1"/>
  <c r="F200" i="27"/>
  <c r="H153" i="32" s="1"/>
  <c r="AB200" i="27"/>
  <c r="AD153" i="32" s="1"/>
  <c r="A122" i="1"/>
  <c r="I10" i="18"/>
  <c r="H10" i="18"/>
  <c r="G17" i="19" a="1"/>
  <c r="G17" i="19" s="1"/>
  <c r="G19" i="19" a="1"/>
  <c r="G19" i="19" s="1"/>
  <c r="E22" i="19" a="1"/>
  <c r="E22" i="19" s="1"/>
  <c r="F26" i="19" a="1"/>
  <c r="F26" i="19" s="1"/>
  <c r="F24" i="16" a="1"/>
  <c r="F24" i="16" s="1"/>
  <c r="X100" i="32" l="1"/>
  <c r="H100" i="32"/>
  <c r="D101" i="32"/>
  <c r="R101" i="32"/>
  <c r="U100" i="32"/>
  <c r="Y101" i="32"/>
  <c r="AG101" i="32"/>
  <c r="K100" i="32"/>
  <c r="S101" i="32"/>
  <c r="E101" i="32"/>
  <c r="AE100" i="32"/>
  <c r="Z101" i="32"/>
  <c r="AM100" i="32"/>
  <c r="AI101" i="32"/>
  <c r="N101" i="32"/>
  <c r="O100" i="32"/>
  <c r="AF100" i="32"/>
  <c r="V101" i="32"/>
  <c r="P101" i="32"/>
  <c r="M100" i="32"/>
  <c r="AK100" i="32"/>
  <c r="T100" i="32"/>
  <c r="AP100" i="32"/>
  <c r="AO100" i="32"/>
  <c r="F100" i="32"/>
  <c r="Q100" i="32"/>
  <c r="AD101" i="32"/>
  <c r="L100" i="32"/>
  <c r="G101" i="32"/>
  <c r="W100" i="32"/>
  <c r="AN101" i="32"/>
  <c r="AH100" i="32"/>
  <c r="AC100" i="32"/>
  <c r="J101" i="32"/>
  <c r="AA100" i="32"/>
  <c r="AL100" i="32"/>
  <c r="I101" i="32"/>
  <c r="AJ101" i="32"/>
  <c r="AB100" i="32"/>
  <c r="D45" i="3" a="1"/>
  <c r="C24" i="13" s="1"/>
  <c r="E45" i="3" a="1"/>
  <c r="E45" i="3" s="1"/>
  <c r="B21" i="13" s="1"/>
  <c r="E157" i="27"/>
  <c r="G88" i="4" s="1"/>
  <c r="AL157" i="27"/>
  <c r="AN88" i="4" s="1"/>
  <c r="C157" i="27"/>
  <c r="E88" i="4" s="1"/>
  <c r="AH157" i="27"/>
  <c r="AJ88" i="4" s="1"/>
  <c r="M157" i="27"/>
  <c r="O88" i="4" s="1"/>
  <c r="I157" i="27"/>
  <c r="K88" i="4" s="1"/>
  <c r="AA157" i="27"/>
  <c r="AC88" i="4" s="1"/>
  <c r="AG157" i="27"/>
  <c r="AI88" i="4" s="1"/>
  <c r="AF157" i="27"/>
  <c r="AH88" i="4" s="1"/>
  <c r="J157" i="27"/>
  <c r="L88" i="4" s="1"/>
  <c r="P157" i="27"/>
  <c r="R88" i="4" s="1"/>
  <c r="AE157" i="27"/>
  <c r="AG88" i="4" s="1"/>
  <c r="AB157" i="27"/>
  <c r="AD88" i="4" s="1"/>
  <c r="U157" i="27"/>
  <c r="W88" i="4" s="1"/>
  <c r="AN157" i="27"/>
  <c r="AP88" i="4" s="1"/>
  <c r="Q157" i="27"/>
  <c r="S88" i="4" s="1"/>
  <c r="D157" i="27"/>
  <c r="F88" i="4" s="1"/>
  <c r="AM157" i="27"/>
  <c r="AO88" i="4" s="1"/>
  <c r="AC157" i="27"/>
  <c r="AE88" i="4" s="1"/>
  <c r="F157" i="27"/>
  <c r="H88" i="4" s="1"/>
  <c r="AK157" i="27"/>
  <c r="AM88" i="4" s="1"/>
  <c r="O157" i="27"/>
  <c r="Q88" i="4" s="1"/>
  <c r="H157" i="27"/>
  <c r="J88" i="4" s="1"/>
  <c r="R157" i="27"/>
  <c r="T88" i="4" s="1"/>
  <c r="AJ157" i="27"/>
  <c r="AL88" i="4" s="1"/>
  <c r="AI157" i="27"/>
  <c r="AK88" i="4" s="1"/>
  <c r="Z157" i="27"/>
  <c r="AB88" i="4" s="1"/>
  <c r="Y157" i="27"/>
  <c r="AA88" i="4" s="1"/>
  <c r="N157" i="27"/>
  <c r="P88" i="4" s="1"/>
  <c r="X157" i="27"/>
  <c r="Z88" i="4" s="1"/>
  <c r="L157" i="27"/>
  <c r="N88" i="4" s="1"/>
  <c r="G157" i="27"/>
  <c r="I88" i="4" s="1"/>
  <c r="AD157" i="27"/>
  <c r="AF88" i="4" s="1"/>
  <c r="B157" i="27"/>
  <c r="D88" i="4" s="1"/>
  <c r="K157" i="27"/>
  <c r="M88" i="4" s="1"/>
  <c r="T157" i="27"/>
  <c r="V88" i="4" s="1"/>
  <c r="S157" i="27"/>
  <c r="U88" i="4" s="1"/>
  <c r="W157" i="27"/>
  <c r="Y88" i="4" s="1"/>
  <c r="V157" i="27"/>
  <c r="X88" i="4" s="1"/>
  <c r="Q15" i="21"/>
  <c r="G32" i="20"/>
  <c r="G35" i="20"/>
  <c r="G42" i="20"/>
  <c r="B23" i="20"/>
  <c r="G39" i="20"/>
  <c r="B24" i="20"/>
  <c r="G38" i="20"/>
  <c r="G40" i="20"/>
  <c r="G36" i="20"/>
  <c r="B25" i="20"/>
  <c r="B26" i="20"/>
  <c r="B21" i="20"/>
  <c r="G41" i="20"/>
  <c r="B22" i="20"/>
  <c r="G37" i="20"/>
  <c r="G34" i="20"/>
  <c r="G33" i="20"/>
  <c r="D109" i="32" a="1"/>
  <c r="D109" i="32" s="1"/>
  <c r="I109" i="32" s="1" a="1"/>
  <c r="A208" i="31" a="1"/>
  <c r="A208" i="31" s="1"/>
  <c r="I212" i="32"/>
  <c r="E8" i="32" a="1"/>
  <c r="E8" i="32" s="1"/>
  <c r="E45" i="4" a="1"/>
  <c r="AO157" i="27"/>
  <c r="A156" i="27"/>
  <c r="I161" i="32"/>
  <c r="A162" i="31" a="1"/>
  <c r="A162" i="31" s="1"/>
  <c r="D8" i="32" a="1"/>
  <c r="D8" i="32" s="1"/>
  <c r="A123" i="1"/>
  <c r="D18" i="19" a="1"/>
  <c r="D18" i="19" s="1"/>
  <c r="D26" i="19" a="1"/>
  <c r="D26" i="19" s="1"/>
  <c r="E19" i="16" a="1"/>
  <c r="E19" i="16" s="1"/>
  <c r="E21" i="16" a="1"/>
  <c r="E21" i="16" s="1"/>
  <c r="E23" i="16" a="1"/>
  <c r="E23" i="16" s="1"/>
  <c r="F25" i="16" a="1"/>
  <c r="F25" i="16" s="1"/>
  <c r="D20" i="16" a="1"/>
  <c r="D20" i="16" s="1"/>
  <c r="D24" i="16" a="1"/>
  <c r="D24" i="16" s="1"/>
  <c r="H26" i="16" a="1"/>
  <c r="H26" i="16" s="1"/>
  <c r="H27" i="16" a="1"/>
  <c r="H27" i="16" s="1"/>
  <c r="D27" i="16" a="1"/>
  <c r="D27" i="16" s="1"/>
  <c r="F28" i="16" a="1"/>
  <c r="F28" i="16" s="1"/>
  <c r="E29" i="16" a="1"/>
  <c r="E29" i="16" s="1"/>
  <c r="G30" i="16" a="1"/>
  <c r="G30" i="16" s="1"/>
  <c r="H31" i="16" a="1"/>
  <c r="H31" i="16" s="1"/>
  <c r="D31" i="16" a="1"/>
  <c r="D31" i="16" s="1"/>
  <c r="F32" i="16" a="1"/>
  <c r="F32" i="16" s="1"/>
  <c r="E33" i="16" a="1"/>
  <c r="E33" i="16" s="1"/>
  <c r="G34" i="16" a="1"/>
  <c r="G34" i="16" s="1"/>
  <c r="H35" i="16" a="1"/>
  <c r="H35" i="16" s="1"/>
  <c r="D35" i="16" a="1"/>
  <c r="D35" i="16" s="1"/>
  <c r="F36" i="16" a="1"/>
  <c r="F36" i="16" s="1"/>
  <c r="E37" i="16" a="1"/>
  <c r="E37" i="16" s="1"/>
  <c r="G38" i="16" a="1"/>
  <c r="G38" i="16" s="1"/>
  <c r="H39" i="16" a="1"/>
  <c r="H39" i="16" s="1"/>
  <c r="D39" i="16" a="1"/>
  <c r="D39" i="16" s="1"/>
  <c r="F40" i="16" a="1"/>
  <c r="F40" i="16" s="1"/>
  <c r="E41" i="16" a="1"/>
  <c r="E41" i="16" s="1"/>
  <c r="G42" i="16" a="1"/>
  <c r="G42" i="16" s="1"/>
  <c r="H43" i="16" a="1"/>
  <c r="H43" i="16" s="1"/>
  <c r="D43" i="16" a="1"/>
  <c r="D43" i="16" s="1"/>
  <c r="F44" i="16" a="1"/>
  <c r="F44" i="16" s="1"/>
  <c r="E45" i="16" a="1"/>
  <c r="E45" i="16" s="1"/>
  <c r="G46" i="16" a="1"/>
  <c r="G46" i="16" s="1"/>
  <c r="F27" i="19" a="1"/>
  <c r="F27" i="19" s="1"/>
  <c r="H22" i="19" a="1"/>
  <c r="H22" i="19" s="1"/>
  <c r="E20" i="19" a="1"/>
  <c r="E20" i="19" s="1"/>
  <c r="E18" i="19" a="1"/>
  <c r="E18" i="19" s="1"/>
  <c r="E16" i="19" a="1"/>
  <c r="E16" i="19" s="1"/>
  <c r="D24" i="19" a="1"/>
  <c r="D24" i="19" s="1"/>
  <c r="E18" i="16" a="1"/>
  <c r="E18" i="16" s="1"/>
  <c r="F20" i="16" a="1"/>
  <c r="F20" i="16" s="1"/>
  <c r="F22" i="16" a="1"/>
  <c r="F22" i="16" s="1"/>
  <c r="H53" i="21" a="1"/>
  <c r="H53" i="21" s="1"/>
  <c r="G52" i="21" a="1"/>
  <c r="G52" i="21" s="1"/>
  <c r="E50" i="21" a="1"/>
  <c r="E50" i="21" s="1"/>
  <c r="D49" i="21" a="1"/>
  <c r="D49" i="21" s="1"/>
  <c r="E73" i="21" a="1"/>
  <c r="E73" i="21" s="1"/>
  <c r="D74" i="21" a="1"/>
  <c r="D74" i="21" s="1"/>
  <c r="D75" i="21" a="1"/>
  <c r="D75" i="21" s="1"/>
  <c r="H75" i="21" a="1"/>
  <c r="H75" i="21" s="1"/>
  <c r="G76" i="21" a="1"/>
  <c r="G76" i="21" s="1"/>
  <c r="E78" i="21" a="1"/>
  <c r="E78" i="21" s="1"/>
  <c r="D79" i="21" a="1"/>
  <c r="D79" i="21" s="1"/>
  <c r="H79" i="21" a="1"/>
  <c r="H79" i="21" s="1"/>
  <c r="G80" i="21" a="1"/>
  <c r="G80" i="21" s="1"/>
  <c r="D81" i="21" a="1"/>
  <c r="D81" i="21" s="1"/>
  <c r="H81" i="21" a="1"/>
  <c r="H81" i="21" s="1"/>
  <c r="H85" i="21" a="1"/>
  <c r="H85" i="21" s="1"/>
  <c r="G84" i="21" a="1"/>
  <c r="G84" i="21" s="1"/>
  <c r="H16" i="21" a="1"/>
  <c r="H16" i="21" s="1"/>
  <c r="E84" i="21" a="1"/>
  <c r="E84" i="21" s="1"/>
  <c r="G16" i="21" a="1"/>
  <c r="G16" i="21" s="1"/>
  <c r="E47" i="21" a="1"/>
  <c r="E47" i="21" s="1"/>
  <c r="G53" i="21" a="1"/>
  <c r="G53" i="21" s="1"/>
  <c r="E51" i="21" a="1"/>
  <c r="E51" i="21" s="1"/>
  <c r="D50" i="21" a="1"/>
  <c r="D50" i="21" s="1"/>
  <c r="H50" i="21" a="1"/>
  <c r="H50" i="21" s="1"/>
  <c r="D73" i="21" a="1"/>
  <c r="D73" i="21" s="1"/>
  <c r="H73" i="21" a="1"/>
  <c r="H73" i="21" s="1"/>
  <c r="G74" i="21" a="1"/>
  <c r="G74" i="21" s="1"/>
  <c r="G75" i="21" a="1"/>
  <c r="G75" i="21" s="1"/>
  <c r="E77" i="21" a="1"/>
  <c r="E77" i="21" s="1"/>
  <c r="D78" i="21" a="1"/>
  <c r="D78" i="21" s="1"/>
  <c r="H78" i="21" a="1"/>
  <c r="H78" i="21" s="1"/>
  <c r="G79" i="21" a="1"/>
  <c r="G79" i="21" s="1"/>
  <c r="G81" i="21" a="1"/>
  <c r="G81" i="21" s="1"/>
  <c r="H82" i="21" a="1"/>
  <c r="H82" i="21" s="1"/>
  <c r="G83" i="21" a="1"/>
  <c r="G83" i="21" s="1"/>
  <c r="E52" i="21" a="1"/>
  <c r="E52" i="21" s="1"/>
  <c r="D51" i="21" a="1"/>
  <c r="D51" i="21" s="1"/>
  <c r="H51" i="21" a="1"/>
  <c r="H51" i="21" s="1"/>
  <c r="G50" i="21" a="1"/>
  <c r="G50" i="21" s="1"/>
  <c r="G73" i="21" a="1"/>
  <c r="G73" i="21" s="1"/>
  <c r="H74" i="21" a="1"/>
  <c r="H74" i="21" s="1"/>
  <c r="E76" i="21" a="1"/>
  <c r="E76" i="21" s="1"/>
  <c r="D77" i="21" a="1"/>
  <c r="D77" i="21" s="1"/>
  <c r="H77" i="21" a="1"/>
  <c r="H77" i="21" s="1"/>
  <c r="G78" i="21" a="1"/>
  <c r="G78" i="21" s="1"/>
  <c r="E80" i="21" a="1"/>
  <c r="E80" i="21" s="1"/>
  <c r="H17" i="16" a="1"/>
  <c r="H17" i="16" s="1"/>
  <c r="H86" i="21" a="1"/>
  <c r="H86" i="21" s="1"/>
  <c r="G82" i="21" a="1"/>
  <c r="G82" i="21" s="1"/>
  <c r="G47" i="21" a="1"/>
  <c r="G47" i="21" s="1"/>
  <c r="D85" i="21" a="1"/>
  <c r="D85" i="21" s="1"/>
  <c r="D86" i="21" a="1"/>
  <c r="D86" i="21" s="1"/>
  <c r="D87" i="21" a="1"/>
  <c r="D87" i="21" s="1"/>
  <c r="D83" i="21" a="1"/>
  <c r="D83" i="21" s="1"/>
  <c r="D52" i="21" a="1"/>
  <c r="D52" i="21" s="1"/>
  <c r="H52" i="21" a="1"/>
  <c r="H52" i="21" s="1"/>
  <c r="G51" i="21" a="1"/>
  <c r="G51" i="21" s="1"/>
  <c r="E49" i="21" a="1"/>
  <c r="E49" i="21" s="1"/>
  <c r="E74" i="21" a="1"/>
  <c r="E74" i="21" s="1"/>
  <c r="E75" i="21" a="1"/>
  <c r="E75" i="21" s="1"/>
  <c r="D76" i="21" a="1"/>
  <c r="D76" i="21" s="1"/>
  <c r="H76" i="21" a="1"/>
  <c r="H76" i="21" s="1"/>
  <c r="G77" i="21" a="1"/>
  <c r="G77" i="21" s="1"/>
  <c r="E79" i="21" a="1"/>
  <c r="E79" i="21" s="1"/>
  <c r="D80" i="21" a="1"/>
  <c r="D80" i="21" s="1"/>
  <c r="H80" i="21" a="1"/>
  <c r="H80" i="21" s="1"/>
  <c r="E81" i="21" a="1"/>
  <c r="E81" i="21" s="1"/>
  <c r="H87" i="21" a="1"/>
  <c r="H87" i="21" s="1"/>
  <c r="H47" i="21" a="1"/>
  <c r="H47" i="21" s="1"/>
  <c r="E83" i="21" a="1"/>
  <c r="E83" i="21" s="1"/>
  <c r="E85" i="21" a="1"/>
  <c r="E85" i="21" s="1"/>
  <c r="D84" i="21" a="1"/>
  <c r="D84" i="21" s="1"/>
  <c r="H48" i="21" a="1"/>
  <c r="H48" i="21" s="1"/>
  <c r="E82" i="21" a="1"/>
  <c r="E82" i="21" s="1"/>
  <c r="G54" i="21" a="1"/>
  <c r="G54" i="21" s="1"/>
  <c r="G60" i="21" a="1"/>
  <c r="G60" i="21" s="1"/>
  <c r="D16" i="21" a="1"/>
  <c r="D16" i="21" s="1"/>
  <c r="F25" i="19" a="1"/>
  <c r="F25" i="19" s="1"/>
  <c r="D62" i="21" a="1"/>
  <c r="D62" i="21" s="1"/>
  <c r="H68" i="21" a="1"/>
  <c r="H68" i="21" s="1"/>
  <c r="H24" i="16" a="1"/>
  <c r="H24" i="16" s="1"/>
  <c r="G86" i="21" a="1"/>
  <c r="G86" i="21" s="1"/>
  <c r="H57" i="21" a="1"/>
  <c r="H57" i="21" s="1"/>
  <c r="E64" i="21" a="1"/>
  <c r="E64" i="21" s="1"/>
  <c r="G70" i="21" a="1"/>
  <c r="G70" i="21" s="1"/>
  <c r="D64" i="21" a="1"/>
  <c r="D64" i="21" s="1"/>
  <c r="H70" i="21" a="1"/>
  <c r="H70" i="21" s="1"/>
  <c r="G24" i="16" a="1"/>
  <c r="G24" i="16" s="1"/>
  <c r="G48" i="21" a="1"/>
  <c r="G48" i="21" s="1"/>
  <c r="G58" i="21" a="1"/>
  <c r="G58" i="21" s="1"/>
  <c r="E27" i="19" a="1"/>
  <c r="E27" i="19" s="1"/>
  <c r="H58" i="21" a="1"/>
  <c r="H58" i="21" s="1"/>
  <c r="E65" i="21" a="1"/>
  <c r="E65" i="21" s="1"/>
  <c r="E71" i="21" a="1"/>
  <c r="E71" i="21" s="1"/>
  <c r="D27" i="19" a="1"/>
  <c r="D27" i="19" s="1"/>
  <c r="D47" i="21" a="1"/>
  <c r="D47" i="21" s="1"/>
  <c r="G56" i="21" a="1"/>
  <c r="G56" i="21" s="1"/>
  <c r="H59" i="21" a="1"/>
  <c r="H59" i="21" s="1"/>
  <c r="E58" i="21" a="1"/>
  <c r="E58" i="21" s="1"/>
  <c r="H67" i="21" a="1"/>
  <c r="H67" i="21" s="1"/>
  <c r="D69" i="21" a="1"/>
  <c r="D69" i="21" s="1"/>
  <c r="E72" i="21" a="1"/>
  <c r="E72" i="21" s="1"/>
  <c r="E26" i="19" a="1"/>
  <c r="E26" i="19" s="1"/>
  <c r="H21" i="19" a="1"/>
  <c r="H21" i="19" s="1"/>
  <c r="F19" i="19" a="1"/>
  <c r="F19" i="19" s="1"/>
  <c r="F17" i="19" a="1"/>
  <c r="F17" i="19" s="1"/>
  <c r="D19" i="19" a="1"/>
  <c r="D19" i="19" s="1"/>
  <c r="D16" i="19" a="1"/>
  <c r="D16" i="19" s="1"/>
  <c r="E48" i="21" a="1"/>
  <c r="E48" i="21" s="1"/>
  <c r="D65" i="21" a="1"/>
  <c r="D65" i="21" s="1"/>
  <c r="D71" i="21" a="1"/>
  <c r="D71" i="21" s="1"/>
  <c r="H27" i="19" a="1"/>
  <c r="H27" i="19" s="1"/>
  <c r="H60" i="21" a="1"/>
  <c r="H60" i="21" s="1"/>
  <c r="E67" i="21" a="1"/>
  <c r="E67" i="21" s="1"/>
  <c r="E25" i="19" a="1"/>
  <c r="E25" i="19" s="1"/>
  <c r="H24" i="19" a="1"/>
  <c r="H24" i="19" s="1"/>
  <c r="E56" i="21" a="1"/>
  <c r="E56" i="21" s="1"/>
  <c r="G62" i="21" a="1"/>
  <c r="G62" i="21" s="1"/>
  <c r="H25" i="16" a="1"/>
  <c r="H25" i="16" s="1"/>
  <c r="E86" i="21" a="1"/>
  <c r="E86" i="21" s="1"/>
  <c r="H84" i="21" a="1"/>
  <c r="H84" i="21" s="1"/>
  <c r="G85" i="21" a="1"/>
  <c r="G85" i="21" s="1"/>
  <c r="G87" i="21" a="1"/>
  <c r="G87" i="21" s="1"/>
  <c r="H83" i="21" a="1"/>
  <c r="H83" i="21" s="1"/>
  <c r="E87" i="21" a="1"/>
  <c r="E87" i="21" s="1"/>
  <c r="D57" i="21" a="1"/>
  <c r="D57" i="21" s="1"/>
  <c r="H63" i="21" a="1"/>
  <c r="H63" i="21" s="1"/>
  <c r="E70" i="21" a="1"/>
  <c r="E70" i="21" s="1"/>
  <c r="G21" i="16" a="1"/>
  <c r="G21" i="16" s="1"/>
  <c r="D48" i="21" a="1"/>
  <c r="D48" i="21" s="1"/>
  <c r="E59" i="21" a="1"/>
  <c r="E59" i="21" s="1"/>
  <c r="G65" i="21" a="1"/>
  <c r="G65" i="21" s="1"/>
  <c r="H72" i="21" a="1"/>
  <c r="H72" i="21" s="1"/>
  <c r="G27" i="19" a="1"/>
  <c r="G27" i="19" s="1"/>
  <c r="E54" i="21" a="1"/>
  <c r="E54" i="21" s="1"/>
  <c r="D67" i="21" a="1"/>
  <c r="D67" i="21" s="1"/>
  <c r="E25" i="16" a="1"/>
  <c r="E25" i="16" s="1"/>
  <c r="D54" i="21" a="1"/>
  <c r="D54" i="21" s="1"/>
  <c r="E61" i="21" a="1"/>
  <c r="E61" i="21" s="1"/>
  <c r="G67" i="21" a="1"/>
  <c r="G67" i="21" s="1"/>
  <c r="H18" i="16" a="1"/>
  <c r="H18" i="16" s="1"/>
  <c r="F24" i="19" a="1"/>
  <c r="F24" i="19" s="1"/>
  <c r="D55" i="21" a="1"/>
  <c r="D55" i="21" s="1"/>
  <c r="H61" i="21" a="1"/>
  <c r="H61" i="21" s="1"/>
  <c r="E68" i="21" a="1"/>
  <c r="E68" i="21" s="1"/>
  <c r="H21" i="16" a="1"/>
  <c r="H21" i="16" s="1"/>
  <c r="G23" i="19" a="1"/>
  <c r="G23" i="19" s="1"/>
  <c r="G55" i="21" a="1"/>
  <c r="G55" i="21" s="1"/>
  <c r="D68" i="21" a="1"/>
  <c r="D68" i="21" s="1"/>
  <c r="H22" i="16" a="1"/>
  <c r="H22" i="16" s="1"/>
  <c r="F23" i="19" a="1"/>
  <c r="F23" i="19" s="1"/>
  <c r="E53" i="21" a="1"/>
  <c r="E53" i="21" s="1"/>
  <c r="D61" i="21" a="1"/>
  <c r="D61" i="21" s="1"/>
  <c r="E66" i="21" a="1"/>
  <c r="E66" i="21" s="1"/>
  <c r="H64" i="21" a="1"/>
  <c r="H64" i="21" s="1"/>
  <c r="H71" i="21" a="1"/>
  <c r="H71" i="21" s="1"/>
  <c r="H19" i="16" a="1"/>
  <c r="H19" i="16" s="1"/>
  <c r="G25" i="16" a="1"/>
  <c r="G25" i="16" s="1"/>
  <c r="E23" i="19" a="1"/>
  <c r="E23" i="19" s="1"/>
  <c r="F20" i="19" a="1"/>
  <c r="F20" i="19" s="1"/>
  <c r="F18" i="19" a="1"/>
  <c r="F18" i="19" s="1"/>
  <c r="D23" i="19" a="1"/>
  <c r="D23" i="19" s="1"/>
  <c r="F17" i="16" a="1"/>
  <c r="F17" i="16" s="1"/>
  <c r="H55" i="21" a="1"/>
  <c r="H55" i="21" s="1"/>
  <c r="E62" i="21" a="1"/>
  <c r="E62" i="21" s="1"/>
  <c r="G68" i="21" a="1"/>
  <c r="G68" i="21" s="1"/>
  <c r="D82" i="21" a="1"/>
  <c r="D82" i="21" s="1"/>
  <c r="G22" i="16" a="1"/>
  <c r="G22" i="16" s="1"/>
  <c r="D59" i="21" a="1"/>
  <c r="D59" i="21" s="1"/>
  <c r="G72" i="21" a="1"/>
  <c r="G72" i="21" s="1"/>
  <c r="D56" i="21" a="1"/>
  <c r="D56" i="21" s="1"/>
  <c r="H62" i="21" a="1"/>
  <c r="H62" i="21" s="1"/>
  <c r="E69" i="21" a="1"/>
  <c r="E69" i="21" s="1"/>
  <c r="G16" i="16" a="1"/>
  <c r="G16" i="16" s="1"/>
  <c r="F22" i="19" a="1"/>
  <c r="F22" i="19" s="1"/>
  <c r="D63" i="21" a="1"/>
  <c r="D63" i="21" s="1"/>
  <c r="H69" i="21" a="1"/>
  <c r="H69" i="21" s="1"/>
  <c r="G19" i="16" a="1"/>
  <c r="G19" i="16" s="1"/>
  <c r="G21" i="19" a="1"/>
  <c r="G21" i="19" s="1"/>
  <c r="E57" i="21" a="1"/>
  <c r="E57" i="21" s="1"/>
  <c r="H23" i="16" a="1"/>
  <c r="H23" i="16" s="1"/>
  <c r="G57" i="21" a="1"/>
  <c r="G57" i="21" s="1"/>
  <c r="D70" i="21" a="1"/>
  <c r="D70" i="21" s="1"/>
  <c r="H49" i="21" a="1"/>
  <c r="H49" i="21" s="1"/>
  <c r="H65" i="21" a="1"/>
  <c r="H65" i="21" s="1"/>
  <c r="G49" i="21" a="1"/>
  <c r="G49" i="21" s="1"/>
  <c r="G59" i="21" a="1"/>
  <c r="G59" i="21" s="1"/>
  <c r="G26" i="19" a="1"/>
  <c r="G26" i="19" s="1"/>
  <c r="D53" i="21" a="1"/>
  <c r="D53" i="21" s="1"/>
  <c r="E60" i="21" a="1"/>
  <c r="E60" i="21" s="1"/>
  <c r="G66" i="21" a="1"/>
  <c r="G66" i="21" s="1"/>
  <c r="H25" i="19" a="1"/>
  <c r="H25" i="19" s="1"/>
  <c r="H54" i="21" a="1"/>
  <c r="H54" i="21" s="1"/>
  <c r="D60" i="21" a="1"/>
  <c r="D60" i="21" s="1"/>
  <c r="G63" i="21" a="1"/>
  <c r="G63" i="21" s="1"/>
  <c r="H66" i="21" a="1"/>
  <c r="H66" i="21" s="1"/>
  <c r="E16" i="21" a="1"/>
  <c r="E16" i="21" s="1"/>
  <c r="G20" i="16" a="1"/>
  <c r="G20" i="16" s="1"/>
  <c r="G25" i="19" a="1"/>
  <c r="G25" i="19" s="1"/>
  <c r="F21" i="19" a="1"/>
  <c r="F21" i="19" s="1"/>
  <c r="E55" i="21" a="1"/>
  <c r="E55" i="21" s="1"/>
  <c r="D58" i="21" a="1"/>
  <c r="D58" i="21" s="1"/>
  <c r="G61" i="21" a="1"/>
  <c r="G61" i="21" s="1"/>
  <c r="D66" i="21" a="1"/>
  <c r="D66" i="21" s="1"/>
  <c r="G71" i="21" a="1"/>
  <c r="G71" i="21" s="1"/>
  <c r="G17" i="16" a="1"/>
  <c r="G17" i="16" s="1"/>
  <c r="H26" i="19" a="1"/>
  <c r="H26" i="19" s="1"/>
  <c r="G22" i="19" a="1"/>
  <c r="G22" i="19" s="1"/>
  <c r="H19" i="19" a="1"/>
  <c r="H19" i="19" s="1"/>
  <c r="H17" i="19" a="1"/>
  <c r="H17" i="19" s="1"/>
  <c r="D17" i="19" a="1"/>
  <c r="D17" i="19" s="1"/>
  <c r="D25" i="19" a="1"/>
  <c r="D25" i="19" s="1"/>
  <c r="F18" i="16" a="1"/>
  <c r="F18" i="16" s="1"/>
  <c r="H46" i="21" a="1"/>
  <c r="H46" i="21" s="1"/>
  <c r="G45" i="21" a="1"/>
  <c r="G45" i="21" s="1"/>
  <c r="E43" i="21" a="1"/>
  <c r="E43" i="21" s="1"/>
  <c r="D42" i="21" a="1"/>
  <c r="D42" i="21" s="1"/>
  <c r="H42" i="21" a="1"/>
  <c r="H42" i="21" s="1"/>
  <c r="G41" i="21" a="1"/>
  <c r="G41" i="21" s="1"/>
  <c r="E39" i="21" a="1"/>
  <c r="E39" i="21" s="1"/>
  <c r="D38" i="21" a="1"/>
  <c r="D38" i="21" s="1"/>
  <c r="H38" i="21" a="1"/>
  <c r="H38" i="21" s="1"/>
  <c r="G37" i="21" a="1"/>
  <c r="G37" i="21" s="1"/>
  <c r="E35" i="21" a="1"/>
  <c r="E35" i="21" s="1"/>
  <c r="D34" i="21" a="1"/>
  <c r="D34" i="21" s="1"/>
  <c r="H34" i="21" a="1"/>
  <c r="H34" i="21" s="1"/>
  <c r="G33" i="21" a="1"/>
  <c r="G33" i="21" s="1"/>
  <c r="E31" i="21" a="1"/>
  <c r="E31" i="21" s="1"/>
  <c r="D30" i="21" a="1"/>
  <c r="D30" i="21" s="1"/>
  <c r="H30" i="21" a="1"/>
  <c r="H30" i="21" s="1"/>
  <c r="G29" i="21" a="1"/>
  <c r="G29" i="21" s="1"/>
  <c r="E27" i="21" a="1"/>
  <c r="E27" i="21" s="1"/>
  <c r="D26" i="21" a="1"/>
  <c r="D26" i="21" s="1"/>
  <c r="E26" i="21" a="1"/>
  <c r="E26" i="21" s="1"/>
  <c r="D24" i="21" a="1"/>
  <c r="D24" i="21" s="1"/>
  <c r="G23" i="21" a="1"/>
  <c r="G23" i="21" s="1"/>
  <c r="H22" i="21" a="1"/>
  <c r="H22" i="21" s="1"/>
  <c r="E21" i="21" a="1"/>
  <c r="E21" i="21" s="1"/>
  <c r="D20" i="21" a="1"/>
  <c r="D20" i="21" s="1"/>
  <c r="G19" i="21" a="1"/>
  <c r="G19" i="21" s="1"/>
  <c r="G18" i="21" a="1"/>
  <c r="G18" i="21" s="1"/>
  <c r="E17" i="21" a="1"/>
  <c r="E17" i="21" s="1"/>
  <c r="E51" i="16" a="1"/>
  <c r="E51" i="16" s="1"/>
  <c r="F50" i="16" a="1"/>
  <c r="F50" i="16" s="1"/>
  <c r="D49" i="16" a="1"/>
  <c r="D49" i="16" s="1"/>
  <c r="G48" i="16" a="1"/>
  <c r="G48" i="16" s="1"/>
  <c r="F46" i="16" a="1"/>
  <c r="F46" i="16" s="1"/>
  <c r="E46" i="21" a="1"/>
  <c r="E46" i="21" s="1"/>
  <c r="D45" i="21" a="1"/>
  <c r="D45" i="21" s="1"/>
  <c r="H45" i="21" a="1"/>
  <c r="H45" i="21" s="1"/>
  <c r="G44" i="21" a="1"/>
  <c r="G44" i="21" s="1"/>
  <c r="E42" i="21" a="1"/>
  <c r="E42" i="21" s="1"/>
  <c r="D41" i="21" a="1"/>
  <c r="D41" i="21" s="1"/>
  <c r="H41" i="21" a="1"/>
  <c r="H41" i="21" s="1"/>
  <c r="G40" i="21" a="1"/>
  <c r="G40" i="21" s="1"/>
  <c r="E38" i="21" a="1"/>
  <c r="E38" i="21" s="1"/>
  <c r="D37" i="21" a="1"/>
  <c r="D37" i="21" s="1"/>
  <c r="H37" i="21" a="1"/>
  <c r="H37" i="21" s="1"/>
  <c r="G36" i="21" a="1"/>
  <c r="G36" i="21" s="1"/>
  <c r="E34" i="21" a="1"/>
  <c r="E34" i="21" s="1"/>
  <c r="D33" i="21" a="1"/>
  <c r="D33" i="21" s="1"/>
  <c r="G23" i="16" a="1"/>
  <c r="G23" i="16" s="1"/>
  <c r="E32" i="21" a="1"/>
  <c r="E32" i="21" s="1"/>
  <c r="D31" i="21" a="1"/>
  <c r="D31" i="21" s="1"/>
  <c r="H31" i="21" a="1"/>
  <c r="H31" i="21" s="1"/>
  <c r="G30" i="21" a="1"/>
  <c r="G30" i="21" s="1"/>
  <c r="E28" i="21" a="1"/>
  <c r="E28" i="21" s="1"/>
  <c r="D27" i="21" a="1"/>
  <c r="D27" i="21" s="1"/>
  <c r="H27" i="21" a="1"/>
  <c r="H27" i="21" s="1"/>
  <c r="H26" i="21" a="1"/>
  <c r="H26" i="21" s="1"/>
  <c r="D25" i="21" a="1"/>
  <c r="D25" i="21" s="1"/>
  <c r="G24" i="21" a="1"/>
  <c r="G24" i="21" s="1"/>
  <c r="H23" i="21" a="1"/>
  <c r="H23" i="21" s="1"/>
  <c r="E22" i="21" a="1"/>
  <c r="E22" i="21" s="1"/>
  <c r="D21" i="21" a="1"/>
  <c r="D21" i="21" s="1"/>
  <c r="G20" i="21" a="1"/>
  <c r="G20" i="21" s="1"/>
  <c r="H19" i="21" a="1"/>
  <c r="H19" i="21" s="1"/>
  <c r="E18" i="21" a="1"/>
  <c r="E18" i="21" s="1"/>
  <c r="D17" i="21" a="1"/>
  <c r="D17" i="21" s="1"/>
  <c r="F51" i="16" a="1"/>
  <c r="F51" i="16" s="1"/>
  <c r="D50" i="16" a="1"/>
  <c r="D50" i="16" s="1"/>
  <c r="H50" i="16" a="1"/>
  <c r="H50" i="16" s="1"/>
  <c r="F48" i="16" a="1"/>
  <c r="F48" i="16" s="1"/>
  <c r="H47" i="16" a="1"/>
  <c r="H47" i="16" s="1"/>
  <c r="G49" i="16" a="1"/>
  <c r="G49" i="16" s="1"/>
  <c r="E48" i="16" a="1"/>
  <c r="E48" i="16" s="1"/>
  <c r="F47" i="16" a="1"/>
  <c r="F47" i="16" s="1"/>
  <c r="D46" i="16" a="1"/>
  <c r="D46" i="16" s="1"/>
  <c r="H46" i="16" a="1"/>
  <c r="H46" i="16" s="1"/>
  <c r="G45" i="16" a="1"/>
  <c r="G45" i="16" s="1"/>
  <c r="E44" i="16" a="1"/>
  <c r="E44" i="16" s="1"/>
  <c r="F43" i="16" a="1"/>
  <c r="F43" i="16" s="1"/>
  <c r="D42" i="16" a="1"/>
  <c r="D42" i="16" s="1"/>
  <c r="H42" i="16" a="1"/>
  <c r="H42" i="16" s="1"/>
  <c r="G41" i="16" a="1"/>
  <c r="G41" i="16" s="1"/>
  <c r="E40" i="16" a="1"/>
  <c r="E40" i="16" s="1"/>
  <c r="F39" i="16" a="1"/>
  <c r="F39" i="16" s="1"/>
  <c r="D38" i="16" a="1"/>
  <c r="D38" i="16" s="1"/>
  <c r="H38" i="16" a="1"/>
  <c r="H38" i="16" s="1"/>
  <c r="G37" i="16" a="1"/>
  <c r="G37" i="16" s="1"/>
  <c r="E36" i="16" a="1"/>
  <c r="E36" i="16" s="1"/>
  <c r="F35" i="16" a="1"/>
  <c r="F35" i="16" s="1"/>
  <c r="D34" i="16" a="1"/>
  <c r="D34" i="16" s="1"/>
  <c r="H34" i="16" a="1"/>
  <c r="H34" i="16" s="1"/>
  <c r="G33" i="16" a="1"/>
  <c r="G33" i="16" s="1"/>
  <c r="E32" i="16" a="1"/>
  <c r="E32" i="16" s="1"/>
  <c r="F31" i="16" a="1"/>
  <c r="F31" i="16" s="1"/>
  <c r="D30" i="16" a="1"/>
  <c r="D30" i="16" s="1"/>
  <c r="H30" i="16" a="1"/>
  <c r="H30" i="16" s="1"/>
  <c r="G29" i="16" a="1"/>
  <c r="G29" i="16" s="1"/>
  <c r="E28" i="16" a="1"/>
  <c r="E28" i="16" s="1"/>
  <c r="F27" i="16" a="1"/>
  <c r="F27" i="16" s="1"/>
  <c r="D26" i="16" a="1"/>
  <c r="D26" i="16" s="1"/>
  <c r="E26" i="16" a="1"/>
  <c r="E26" i="16" s="1"/>
  <c r="D23" i="16" a="1"/>
  <c r="D23" i="16" s="1"/>
  <c r="D19" i="16" a="1"/>
  <c r="D19" i="16" s="1"/>
  <c r="H56" i="21" a="1"/>
  <c r="H56" i="21" s="1"/>
  <c r="G64" i="21" a="1"/>
  <c r="G64" i="21" s="1"/>
  <c r="E63" i="21" a="1"/>
  <c r="E63" i="21" s="1"/>
  <c r="G69" i="21" a="1"/>
  <c r="G69" i="21" s="1"/>
  <c r="D72" i="21" a="1"/>
  <c r="D72" i="21" s="1"/>
  <c r="G18" i="16" a="1"/>
  <c r="G18" i="16" s="1"/>
  <c r="E24" i="19" a="1"/>
  <c r="E24" i="19" s="1"/>
  <c r="H20" i="19" a="1"/>
  <c r="H20" i="19" s="1"/>
  <c r="H18" i="19" a="1"/>
  <c r="H18" i="19" s="1"/>
  <c r="D21" i="19" a="1"/>
  <c r="D21" i="19" s="1"/>
  <c r="F16" i="16" a="1"/>
  <c r="F16" i="16" s="1"/>
  <c r="D46" i="21" a="1"/>
  <c r="D46" i="21" s="1"/>
  <c r="E45" i="21" a="1"/>
  <c r="E45" i="21" s="1"/>
  <c r="D44" i="21" a="1"/>
  <c r="D44" i="21" s="1"/>
  <c r="H44" i="21" a="1"/>
  <c r="H44" i="21" s="1"/>
  <c r="G43" i="21" a="1"/>
  <c r="G43" i="21" s="1"/>
  <c r="E41" i="21" a="1"/>
  <c r="E41" i="21" s="1"/>
  <c r="D40" i="21" a="1"/>
  <c r="D40" i="21" s="1"/>
  <c r="H40" i="21" a="1"/>
  <c r="H40" i="21" s="1"/>
  <c r="G39" i="21" a="1"/>
  <c r="G39" i="21" s="1"/>
  <c r="E37" i="21" a="1"/>
  <c r="E37" i="21" s="1"/>
  <c r="D36" i="21" a="1"/>
  <c r="D36" i="21" s="1"/>
  <c r="H36" i="21" a="1"/>
  <c r="H36" i="21" s="1"/>
  <c r="G35" i="21" a="1"/>
  <c r="G35" i="21" s="1"/>
  <c r="E33" i="21" a="1"/>
  <c r="E33" i="21" s="1"/>
  <c r="D32" i="21" a="1"/>
  <c r="D32" i="21" s="1"/>
  <c r="H32" i="21" a="1"/>
  <c r="H32" i="21" s="1"/>
  <c r="G31" i="21" a="1"/>
  <c r="G31" i="21" s="1"/>
  <c r="E29" i="21" a="1"/>
  <c r="E29" i="21" s="1"/>
  <c r="D28" i="21" a="1"/>
  <c r="D28" i="21" s="1"/>
  <c r="H28" i="21" a="1"/>
  <c r="H28" i="21" s="1"/>
  <c r="G27" i="21" a="1"/>
  <c r="G27" i="21" s="1"/>
  <c r="G26" i="21" a="1"/>
  <c r="G26" i="21" s="1"/>
  <c r="G25" i="21" a="1"/>
  <c r="G25" i="21" s="1"/>
  <c r="H24" i="21" a="1"/>
  <c r="H24" i="21" s="1"/>
  <c r="E23" i="21" a="1"/>
  <c r="E23" i="21" s="1"/>
  <c r="D22" i="21" a="1"/>
  <c r="D22" i="21" s="1"/>
  <c r="G21" i="21" a="1"/>
  <c r="G21" i="21" s="1"/>
  <c r="H20" i="21" a="1"/>
  <c r="H20" i="21" s="1"/>
  <c r="E19" i="21" a="1"/>
  <c r="E19" i="21" s="1"/>
  <c r="D18" i="21" a="1"/>
  <c r="D18" i="21" s="1"/>
  <c r="G17" i="21" a="1"/>
  <c r="G17" i="21" s="1"/>
  <c r="D51" i="16" a="1"/>
  <c r="D51" i="16" s="1"/>
  <c r="H51" i="16" a="1"/>
  <c r="H51" i="16" s="1"/>
  <c r="G50" i="16" a="1"/>
  <c r="G50" i="16" s="1"/>
  <c r="H49" i="16" a="1"/>
  <c r="H49" i="16" s="1"/>
  <c r="E47" i="16" a="1"/>
  <c r="E47" i="16" s="1"/>
  <c r="G46" i="21" a="1"/>
  <c r="G46" i="21" s="1"/>
  <c r="E44" i="21" a="1"/>
  <c r="E44" i="21" s="1"/>
  <c r="D43" i="21" a="1"/>
  <c r="D43" i="21" s="1"/>
  <c r="H43" i="21" a="1"/>
  <c r="H43" i="21" s="1"/>
  <c r="G42" i="21" a="1"/>
  <c r="G42" i="21" s="1"/>
  <c r="E40" i="21" a="1"/>
  <c r="E40" i="21" s="1"/>
  <c r="D39" i="21" a="1"/>
  <c r="D39" i="21" s="1"/>
  <c r="H39" i="21" a="1"/>
  <c r="H39" i="21" s="1"/>
  <c r="G38" i="21" a="1"/>
  <c r="G38" i="21" s="1"/>
  <c r="E36" i="21" a="1"/>
  <c r="E36" i="21" s="1"/>
  <c r="D35" i="21" a="1"/>
  <c r="D35" i="21" s="1"/>
  <c r="H35" i="21" a="1"/>
  <c r="H35" i="21" s="1"/>
  <c r="G34" i="21" a="1"/>
  <c r="G34" i="21" s="1"/>
  <c r="H33" i="21" a="1"/>
  <c r="H33" i="21" s="1"/>
  <c r="G32" i="21" a="1"/>
  <c r="G32" i="21" s="1"/>
  <c r="E30" i="21" a="1"/>
  <c r="E30" i="21" s="1"/>
  <c r="D29" i="21" a="1"/>
  <c r="D29" i="21" s="1"/>
  <c r="H29" i="21" a="1"/>
  <c r="H29" i="21" s="1"/>
  <c r="G28" i="21" a="1"/>
  <c r="G28" i="21" s="1"/>
  <c r="H25" i="21" a="1"/>
  <c r="H25" i="21" s="1"/>
  <c r="E25" i="21" a="1"/>
  <c r="E25" i="21" s="1"/>
  <c r="E24" i="21" a="1"/>
  <c r="E24" i="21" s="1"/>
  <c r="D23" i="21" a="1"/>
  <c r="D23" i="21" s="1"/>
  <c r="G22" i="21" a="1"/>
  <c r="G22" i="21" s="1"/>
  <c r="H21" i="21" a="1"/>
  <c r="H21" i="21" s="1"/>
  <c r="E20" i="21" a="1"/>
  <c r="E20" i="21" s="1"/>
  <c r="D19" i="21" a="1"/>
  <c r="D19" i="21" s="1"/>
  <c r="H18" i="21" a="1"/>
  <c r="H18" i="21" s="1"/>
  <c r="H17" i="21" a="1"/>
  <c r="H17" i="21" s="1"/>
  <c r="G51" i="16" a="1"/>
  <c r="G51" i="16" s="1"/>
  <c r="E50" i="16" a="1"/>
  <c r="E50" i="16" s="1"/>
  <c r="E49" i="16" a="1"/>
  <c r="E49" i="16" s="1"/>
  <c r="D47" i="16" a="1"/>
  <c r="D47" i="16" s="1"/>
  <c r="F49" i="16" a="1"/>
  <c r="F49" i="16" s="1"/>
  <c r="D48" i="16" a="1"/>
  <c r="D48" i="16" s="1"/>
  <c r="H48" i="16" a="1"/>
  <c r="H48" i="16" s="1"/>
  <c r="G47" i="16" a="1"/>
  <c r="G47" i="16" s="1"/>
  <c r="E46" i="16" a="1"/>
  <c r="E46" i="16" s="1"/>
  <c r="F45" i="16" a="1"/>
  <c r="F45" i="16" s="1"/>
  <c r="D44" i="16" a="1"/>
  <c r="D44" i="16" s="1"/>
  <c r="H44" i="16" a="1"/>
  <c r="H44" i="16" s="1"/>
  <c r="G43" i="16" a="1"/>
  <c r="G43" i="16" s="1"/>
  <c r="E42" i="16" a="1"/>
  <c r="E42" i="16" s="1"/>
  <c r="F41" i="16" a="1"/>
  <c r="F41" i="16" s="1"/>
  <c r="D40" i="16" a="1"/>
  <c r="D40" i="16" s="1"/>
  <c r="H40" i="16" a="1"/>
  <c r="H40" i="16" s="1"/>
  <c r="G39" i="16" a="1"/>
  <c r="G39" i="16" s="1"/>
  <c r="E38" i="16" a="1"/>
  <c r="E38" i="16" s="1"/>
  <c r="F37" i="16" a="1"/>
  <c r="F37" i="16" s="1"/>
  <c r="D36" i="16" a="1"/>
  <c r="D36" i="16" s="1"/>
  <c r="H36" i="16" a="1"/>
  <c r="H36" i="16" s="1"/>
  <c r="G35" i="16" a="1"/>
  <c r="G35" i="16" s="1"/>
  <c r="E34" i="16" a="1"/>
  <c r="E34" i="16" s="1"/>
  <c r="F33" i="16" a="1"/>
  <c r="F33" i="16" s="1"/>
  <c r="D32" i="16" a="1"/>
  <c r="D32" i="16" s="1"/>
  <c r="H32" i="16" a="1"/>
  <c r="H32" i="16" s="1"/>
  <c r="G31" i="16" a="1"/>
  <c r="G31" i="16" s="1"/>
  <c r="E30" i="16" a="1"/>
  <c r="E30" i="16" s="1"/>
  <c r="F29" i="16" a="1"/>
  <c r="F29" i="16" s="1"/>
  <c r="D28" i="16" a="1"/>
  <c r="D28" i="16" s="1"/>
  <c r="H28" i="16" a="1"/>
  <c r="H28" i="16" s="1"/>
  <c r="G27" i="16" a="1"/>
  <c r="G27" i="16" s="1"/>
  <c r="G26" i="16" a="1"/>
  <c r="G26" i="16" s="1"/>
  <c r="D25" i="16" a="1"/>
  <c r="D25" i="16" s="1"/>
  <c r="D21" i="16" a="1"/>
  <c r="D21" i="16" s="1"/>
  <c r="D17" i="16" a="1"/>
  <c r="D17" i="16" s="1"/>
  <c r="H23" i="19" a="1"/>
  <c r="H23" i="19" s="1"/>
  <c r="G20" i="19" a="1"/>
  <c r="G20" i="19" s="1"/>
  <c r="G18" i="19" a="1"/>
  <c r="G18" i="19" s="1"/>
  <c r="G16" i="19" a="1"/>
  <c r="G16" i="19" s="1"/>
  <c r="D22" i="19" a="1"/>
  <c r="D22" i="19" s="1"/>
  <c r="E17" i="16" a="1"/>
  <c r="E17" i="16" s="1"/>
  <c r="E20" i="16" a="1"/>
  <c r="E20" i="16" s="1"/>
  <c r="E22" i="16" a="1"/>
  <c r="E22" i="16" s="1"/>
  <c r="E24" i="16" a="1"/>
  <c r="E24" i="16" s="1"/>
  <c r="D18" i="16" a="1"/>
  <c r="D18" i="16" s="1"/>
  <c r="D22" i="16" a="1"/>
  <c r="D22" i="16" s="1"/>
  <c r="D16" i="16" a="1"/>
  <c r="D16" i="16" s="1"/>
  <c r="F26" i="16" a="1"/>
  <c r="F26" i="16" s="1"/>
  <c r="E27" i="16" a="1"/>
  <c r="E27" i="16" s="1"/>
  <c r="G28" i="16" a="1"/>
  <c r="G28" i="16" s="1"/>
  <c r="H29" i="16" a="1"/>
  <c r="H29" i="16" s="1"/>
  <c r="D29" i="16" a="1"/>
  <c r="D29" i="16" s="1"/>
  <c r="F30" i="16" a="1"/>
  <c r="F30" i="16" s="1"/>
  <c r="E31" i="16" a="1"/>
  <c r="E31" i="16" s="1"/>
  <c r="G32" i="16" a="1"/>
  <c r="G32" i="16" s="1"/>
  <c r="H33" i="16" a="1"/>
  <c r="H33" i="16" s="1"/>
  <c r="D33" i="16" a="1"/>
  <c r="D33" i="16" s="1"/>
  <c r="F34" i="16" a="1"/>
  <c r="F34" i="16" s="1"/>
  <c r="E35" i="16" a="1"/>
  <c r="E35" i="16" s="1"/>
  <c r="G36" i="16" a="1"/>
  <c r="G36" i="16" s="1"/>
  <c r="H37" i="16" a="1"/>
  <c r="H37" i="16" s="1"/>
  <c r="D37" i="16" a="1"/>
  <c r="D37" i="16" s="1"/>
  <c r="F38" i="16" a="1"/>
  <c r="F38" i="16" s="1"/>
  <c r="E39" i="16" a="1"/>
  <c r="E39" i="16" s="1"/>
  <c r="G40" i="16" a="1"/>
  <c r="G40" i="16" s="1"/>
  <c r="H41" i="16" a="1"/>
  <c r="H41" i="16" s="1"/>
  <c r="D41" i="16" a="1"/>
  <c r="D41" i="16" s="1"/>
  <c r="F42" i="16" a="1"/>
  <c r="F42" i="16" s="1"/>
  <c r="E43" i="16" a="1"/>
  <c r="E43" i="16" s="1"/>
  <c r="G44" i="16" a="1"/>
  <c r="G44" i="16" s="1"/>
  <c r="H45" i="16" a="1"/>
  <c r="H45" i="16" s="1"/>
  <c r="D45" i="16" a="1"/>
  <c r="D45" i="16" s="1"/>
  <c r="H20" i="16" a="1"/>
  <c r="H20" i="16" s="1"/>
  <c r="G24" i="19" a="1"/>
  <c r="G24" i="19" s="1"/>
  <c r="E21" i="19" a="1"/>
  <c r="E21" i="19" s="1"/>
  <c r="E19" i="19" a="1"/>
  <c r="E19" i="19" s="1"/>
  <c r="E17" i="19" a="1"/>
  <c r="E17" i="19" s="1"/>
  <c r="D20" i="19" a="1"/>
  <c r="D20" i="19" s="1"/>
  <c r="E16" i="16" a="1"/>
  <c r="E16" i="16" s="1"/>
  <c r="F19" i="16" a="1"/>
  <c r="F19" i="16" s="1"/>
  <c r="F21" i="16" a="1"/>
  <c r="F21" i="16" s="1"/>
  <c r="F23" i="16" a="1"/>
  <c r="F23" i="16" s="1"/>
  <c r="C23" i="13" l="1"/>
  <c r="C22" i="13"/>
  <c r="E56" i="32" a="1"/>
  <c r="E56" i="32" s="1"/>
  <c r="C25" i="13"/>
  <c r="D56" i="32" a="1"/>
  <c r="D56" i="32" s="1"/>
  <c r="C26" i="13"/>
  <c r="D45" i="3"/>
  <c r="I45" i="3" s="1" a="1"/>
  <c r="B25" i="13"/>
  <c r="B23" i="13"/>
  <c r="B26" i="13"/>
  <c r="B24" i="13"/>
  <c r="B22" i="13"/>
  <c r="D45" i="4" a="1"/>
  <c r="D45" i="4" s="1"/>
  <c r="I8" i="32" a="1"/>
  <c r="I8" i="32" s="1"/>
  <c r="E45" i="4"/>
  <c r="C21" i="18" s="1"/>
  <c r="C22" i="18"/>
  <c r="C24" i="18"/>
  <c r="C23" i="18"/>
  <c r="C26" i="18"/>
  <c r="C25" i="18"/>
  <c r="I109" i="32"/>
  <c r="A112" i="31" a="1"/>
  <c r="A112" i="31" s="1"/>
  <c r="A124" i="1"/>
  <c r="H9" i="18"/>
  <c r="I9" i="18"/>
  <c r="I57" i="32" l="1" a="1"/>
  <c r="A11" i="31" s="1" a="1"/>
  <c r="A11" i="31" s="1"/>
  <c r="Q15" i="16" a="1"/>
  <c r="Q15" i="16" s="1"/>
  <c r="G33" i="13" s="1"/>
  <c r="C21" i="13"/>
  <c r="B26" i="18"/>
  <c r="B22" i="18"/>
  <c r="B25" i="18"/>
  <c r="B23" i="18"/>
  <c r="B24" i="18"/>
  <c r="A62" i="31" a="1"/>
  <c r="A62" i="31" s="1"/>
  <c r="B21" i="18"/>
  <c r="Q15" i="19" a="1"/>
  <c r="Q15" i="19" s="1"/>
  <c r="J45" i="4" a="1"/>
  <c r="A11" i="10" a="1"/>
  <c r="A11" i="10" s="1"/>
  <c r="I45" i="3"/>
  <c r="A125" i="1"/>
  <c r="I57" i="32" l="1"/>
  <c r="H37" i="13"/>
  <c r="G35" i="13"/>
  <c r="H36" i="13"/>
  <c r="G39" i="13"/>
  <c r="G37" i="13"/>
  <c r="H35" i="13"/>
  <c r="H40" i="13"/>
  <c r="H39" i="13"/>
  <c r="G32" i="13"/>
  <c r="H32" i="13"/>
  <c r="G36" i="13"/>
  <c r="G41" i="13"/>
  <c r="H41" i="13"/>
  <c r="H38" i="13"/>
  <c r="G42" i="13"/>
  <c r="G38" i="13"/>
  <c r="H42" i="13"/>
  <c r="G40" i="13"/>
  <c r="H34" i="13"/>
  <c r="H33" i="13"/>
  <c r="G34" i="13"/>
  <c r="A8" i="12" a="1"/>
  <c r="A8" i="12" s="1"/>
  <c r="J45" i="4"/>
  <c r="G37" i="18"/>
  <c r="H35" i="18"/>
  <c r="G40" i="18"/>
  <c r="H42" i="18"/>
  <c r="H32" i="18"/>
  <c r="G41" i="18"/>
  <c r="G36" i="18"/>
  <c r="H41" i="18"/>
  <c r="G32" i="18"/>
  <c r="G38" i="18"/>
  <c r="G42" i="18"/>
  <c r="H34" i="18"/>
  <c r="H40" i="18"/>
  <c r="G33" i="18"/>
  <c r="H38" i="18"/>
  <c r="H36" i="18"/>
  <c r="H39" i="18"/>
  <c r="G39" i="18"/>
  <c r="G35" i="18"/>
  <c r="H37" i="18"/>
  <c r="H33" i="18"/>
  <c r="G34" i="18"/>
  <c r="A126" i="1"/>
  <c r="B29" i="21" s="1" a="1"/>
  <c r="B29" i="21" s="1"/>
  <c r="C24" i="21" a="1"/>
  <c r="C24" i="21" s="1"/>
  <c r="C66" i="21" a="1"/>
  <c r="C66" i="21" s="1"/>
  <c r="B25" i="21" a="1"/>
  <c r="B25" i="21" s="1"/>
  <c r="B31" i="21" a="1"/>
  <c r="B31" i="21" s="1"/>
  <c r="B32" i="21" a="1"/>
  <c r="B32" i="21" s="1"/>
  <c r="B38" i="21" a="1"/>
  <c r="B38" i="21" s="1"/>
  <c r="C71" i="21" a="1"/>
  <c r="C71" i="21" s="1"/>
  <c r="B44" i="16" a="1"/>
  <c r="B44" i="16" s="1"/>
  <c r="B85" i="21" a="1"/>
  <c r="B85" i="21" s="1"/>
  <c r="B16" i="16" a="1"/>
  <c r="B16" i="16" s="1"/>
  <c r="C60" i="21" a="1"/>
  <c r="C60" i="21" s="1"/>
  <c r="C20" i="19" a="1"/>
  <c r="C20" i="19" s="1"/>
  <c r="C63" i="21" a="1"/>
  <c r="C63" i="21" s="1"/>
  <c r="B55" i="21" a="1"/>
  <c r="B55" i="21" s="1"/>
  <c r="B70" i="21" a="1"/>
  <c r="B70" i="21" s="1"/>
  <c r="B39" i="21" a="1"/>
  <c r="B39" i="21" s="1"/>
  <c r="C85" i="21" a="1"/>
  <c r="C85" i="21" s="1"/>
  <c r="C25" i="19" a="1"/>
  <c r="C25" i="19" s="1"/>
  <c r="B34" i="21" a="1"/>
  <c r="B34" i="21" s="1"/>
  <c r="C18" i="19" a="1"/>
  <c r="C18" i="19" s="1"/>
  <c r="C43" i="16" a="1"/>
  <c r="C43" i="16" s="1"/>
  <c r="C16" i="16" a="1"/>
  <c r="C16" i="16" s="1"/>
  <c r="C68" i="21" a="1"/>
  <c r="C68" i="21" s="1"/>
  <c r="B18" i="21" a="1"/>
  <c r="B18" i="21" s="1"/>
  <c r="C64" i="21" a="1"/>
  <c r="C64" i="21" s="1"/>
  <c r="B41" i="16" a="1"/>
  <c r="B41" i="16" s="1"/>
  <c r="C61" i="21" a="1"/>
  <c r="C61" i="21" s="1"/>
  <c r="B48" i="16" a="1"/>
  <c r="B48" i="16" s="1"/>
  <c r="C47" i="21" a="1"/>
  <c r="C47" i="21" s="1"/>
  <c r="C26" i="19" a="1"/>
  <c r="C26" i="19" s="1"/>
  <c r="C73" i="21" a="1"/>
  <c r="C73" i="21" s="1"/>
  <c r="B61" i="21" a="1"/>
  <c r="B61" i="21" s="1"/>
  <c r="C38" i="21" a="1"/>
  <c r="C38" i="21" s="1"/>
  <c r="C35" i="21" a="1"/>
  <c r="C35" i="21" s="1"/>
  <c r="C72" i="21" a="1"/>
  <c r="C72" i="21" s="1"/>
  <c r="C33" i="21" a="1"/>
  <c r="C33" i="21" s="1"/>
  <c r="B17" i="16" a="1"/>
  <c r="B17" i="16" s="1"/>
  <c r="B49" i="16" a="1"/>
  <c r="B49" i="16" s="1"/>
  <c r="B41" i="21" a="1"/>
  <c r="B41" i="21" s="1"/>
  <c r="B46" i="16" a="1"/>
  <c r="B46" i="16" s="1"/>
  <c r="B20" i="16" a="1"/>
  <c r="B20" i="16" s="1"/>
  <c r="B19" i="21" a="1"/>
  <c r="B19" i="21" s="1"/>
  <c r="C52" i="21" a="1"/>
  <c r="C52" i="21" s="1"/>
  <c r="C21" i="19" a="1"/>
  <c r="C21" i="19" s="1"/>
  <c r="C41" i="21" a="1"/>
  <c r="C41" i="21" s="1"/>
  <c r="B42" i="21" a="1"/>
  <c r="B42" i="21" s="1"/>
  <c r="C34" i="16" a="1"/>
  <c r="C34" i="16" s="1"/>
  <c r="B35" i="16" a="1"/>
  <c r="B35" i="16" s="1"/>
  <c r="B21" i="19" a="1"/>
  <c r="B21" i="19" s="1"/>
  <c r="B50" i="16" a="1"/>
  <c r="B50" i="16" s="1"/>
  <c r="C19" i="21" a="1"/>
  <c r="C19" i="21" s="1"/>
  <c r="B45" i="16" a="1"/>
  <c r="B45" i="16" s="1"/>
  <c r="B22" i="21" a="1"/>
  <c r="B22" i="21" s="1"/>
  <c r="B56" i="21" a="1"/>
  <c r="B56" i="21" s="1"/>
  <c r="B17" i="21" a="1"/>
  <c r="B17" i="21" s="1"/>
  <c r="B52" i="21" a="1"/>
  <c r="B52" i="21" s="1"/>
  <c r="B20" i="19" a="1"/>
  <c r="B20" i="19" s="1"/>
  <c r="C59" i="21" a="1"/>
  <c r="C59" i="21" s="1"/>
  <c r="B33" i="16" a="1"/>
  <c r="B33" i="16" s="1"/>
  <c r="C23" i="19" a="1"/>
  <c r="C23" i="19" s="1"/>
  <c r="B40" i="16" a="1"/>
  <c r="B40" i="16" s="1"/>
  <c r="B22" i="19" a="1"/>
  <c r="B22" i="19" s="1"/>
  <c r="B82" i="21" a="1"/>
  <c r="B82" i="21" s="1"/>
  <c r="B30" i="21" a="1"/>
  <c r="B30" i="21" s="1"/>
  <c r="B54" i="21" a="1"/>
  <c r="B54" i="21" s="1"/>
  <c r="C43" i="21" a="1"/>
  <c r="C43" i="21" s="1"/>
  <c r="C16" i="19" a="1"/>
  <c r="C16" i="19" s="1"/>
  <c r="B23" i="16" a="1"/>
  <c r="B23" i="16" s="1"/>
  <c r="B71" i="21" a="1"/>
  <c r="B71" i="21" s="1"/>
  <c r="B22" i="16" a="1"/>
  <c r="B22" i="16" s="1"/>
  <c r="B48" i="21" a="1"/>
  <c r="B48" i="21" s="1"/>
  <c r="B86" i="21" a="1"/>
  <c r="B86" i="21" s="1"/>
  <c r="B21" i="21" a="1"/>
  <c r="B21" i="21" s="1"/>
  <c r="B59" i="21" a="1"/>
  <c r="B59" i="21" s="1"/>
  <c r="C49" i="21" a="1"/>
  <c r="C49" i="21" s="1"/>
  <c r="C24" i="19" a="1"/>
  <c r="C24" i="19" s="1"/>
  <c r="B38" i="16" a="1"/>
  <c r="B38" i="16" s="1"/>
  <c r="B63" i="21" a="1"/>
  <c r="B63" i="21" s="1"/>
  <c r="C48" i="21" a="1"/>
  <c r="C48" i="21" s="1"/>
  <c r="B68" i="21" a="1"/>
  <c r="B68" i="21" s="1"/>
  <c r="C23" i="21" a="1"/>
  <c r="C23" i="21" s="1"/>
  <c r="C67" i="21" a="1"/>
  <c r="C67" i="21" s="1"/>
  <c r="B17" i="19" a="1"/>
  <c r="B17" i="19" s="1"/>
  <c r="B37" i="16" a="1"/>
  <c r="B37" i="16" s="1"/>
  <c r="B23" i="19" a="1"/>
  <c r="B23" i="19" s="1"/>
  <c r="C27" i="21" a="1"/>
  <c r="C27" i="21" s="1"/>
  <c r="B51" i="21" a="1"/>
  <c r="B51" i="21" s="1"/>
  <c r="C26" i="21" a="1"/>
  <c r="C26" i="21" s="1"/>
  <c r="C39" i="21" a="1"/>
  <c r="C39" i="21" s="1"/>
  <c r="C30" i="21" a="1"/>
  <c r="C30" i="21" s="1"/>
  <c r="B64" i="21" a="1"/>
  <c r="B64" i="21" s="1"/>
  <c r="C17" i="21" a="1"/>
  <c r="C17" i="21" s="1"/>
  <c r="B33" i="21" a="1"/>
  <c r="B33" i="21" s="1"/>
  <c r="C50" i="21" a="1"/>
  <c r="C50" i="21" s="1"/>
  <c r="C34" i="21" a="1"/>
  <c r="C34" i="21" s="1"/>
  <c r="C57" i="21" a="1"/>
  <c r="C57" i="21" s="1"/>
  <c r="B65" i="21" a="1"/>
  <c r="B65" i="21" s="1"/>
  <c r="B66" i="21" a="1"/>
  <c r="B66" i="21" s="1"/>
  <c r="C19" i="19" a="1"/>
  <c r="C19" i="19" s="1"/>
  <c r="C53" i="21" a="1"/>
  <c r="C53" i="21" s="1"/>
  <c r="B19" i="16" a="1"/>
  <c r="B19" i="16" s="1"/>
  <c r="B24" i="19" a="1"/>
  <c r="B24" i="19" s="1"/>
  <c r="C42" i="21" a="1"/>
  <c r="C42" i="21" s="1"/>
  <c r="B27" i="16" a="1"/>
  <c r="B27" i="16" s="1"/>
  <c r="C25" i="21" a="1"/>
  <c r="C25" i="21" s="1"/>
  <c r="B42" i="16" a="1"/>
  <c r="B42" i="16" s="1"/>
  <c r="B35" i="21" a="1"/>
  <c r="B35" i="21" s="1"/>
  <c r="B53" i="21" a="1"/>
  <c r="B53" i="21" s="1"/>
  <c r="C56" i="21" a="1"/>
  <c r="C56" i="21" s="1"/>
  <c r="C46" i="21" a="1"/>
  <c r="C46" i="21" s="1"/>
  <c r="C22" i="19" a="1"/>
  <c r="C22" i="19" s="1"/>
  <c r="B16" i="21" a="1"/>
  <c r="B16" i="21" s="1"/>
  <c r="C82" i="21" a="1"/>
  <c r="C82" i="21" s="1"/>
  <c r="B43" i="16" a="1"/>
  <c r="B43" i="16" s="1"/>
  <c r="B62" i="21" a="1"/>
  <c r="B62" i="21" s="1"/>
  <c r="C16" i="21" a="1"/>
  <c r="C16" i="21" s="1"/>
  <c r="B32" i="16" a="1"/>
  <c r="B32" i="16" s="1"/>
  <c r="B18" i="19" a="1"/>
  <c r="B18" i="19" s="1"/>
  <c r="C69" i="21" a="1"/>
  <c r="C69" i="21" s="1"/>
  <c r="B28" i="21" a="1"/>
  <c r="B28" i="21" s="1"/>
  <c r="C32" i="21" a="1"/>
  <c r="C32" i="21" s="1"/>
  <c r="B49" i="21" a="1"/>
  <c r="B49" i="21" s="1"/>
  <c r="B26" i="21" a="1"/>
  <c r="B26" i="21" s="1"/>
  <c r="B74" i="21" a="1"/>
  <c r="B74" i="21" s="1"/>
  <c r="C86" i="21" a="1"/>
  <c r="C86" i="21" s="1"/>
  <c r="C70" i="21" a="1"/>
  <c r="C70" i="21" s="1"/>
  <c r="B43" i="21" a="1"/>
  <c r="B43" i="21" s="1"/>
  <c r="B72" i="21" a="1"/>
  <c r="B72" i="21" s="1"/>
  <c r="B28" i="16" a="1"/>
  <c r="B28" i="16" s="1"/>
  <c r="B47" i="16" a="1"/>
  <c r="B47" i="16" s="1"/>
  <c r="C83" i="21" a="1"/>
  <c r="C83" i="21" s="1"/>
  <c r="C35" i="16" a="1"/>
  <c r="C35" i="16" s="1"/>
  <c r="C45" i="21" a="1"/>
  <c r="C45" i="21" s="1"/>
  <c r="C18" i="21" a="1"/>
  <c r="C18" i="21" s="1"/>
  <c r="C27" i="19" a="1"/>
  <c r="C27" i="19" s="1"/>
  <c r="B19" i="19" a="1"/>
  <c r="B19" i="19" s="1"/>
  <c r="B57" i="21" a="1"/>
  <c r="B57" i="21" s="1"/>
  <c r="C37" i="21" a="1"/>
  <c r="C37" i="21" s="1"/>
  <c r="B67" i="21" a="1"/>
  <c r="B67" i="21" s="1"/>
  <c r="C44" i="21" a="1"/>
  <c r="C44" i="21" s="1"/>
  <c r="C54" i="21" a="1"/>
  <c r="C54" i="21" s="1"/>
  <c r="B51" i="16" a="1"/>
  <c r="B51" i="16" s="1"/>
  <c r="B25" i="16" a="1"/>
  <c r="B25" i="16" s="1"/>
  <c r="B39" i="16" a="1"/>
  <c r="B39" i="16" s="1"/>
  <c r="C22" i="21" a="1"/>
  <c r="C22" i="21" s="1"/>
  <c r="B88" i="21" a="1"/>
  <c r="B88" i="21" s="1"/>
  <c r="C29" i="21" a="1"/>
  <c r="C29" i="21" s="1"/>
  <c r="B29" i="16" a="1"/>
  <c r="B29" i="16" s="1"/>
  <c r="C36" i="21" a="1"/>
  <c r="C36" i="21" s="1"/>
  <c r="B40" i="21" a="1"/>
  <c r="B40" i="21" s="1"/>
  <c r="C58" i="21" a="1"/>
  <c r="C58" i="21" s="1"/>
  <c r="B27" i="19" a="1"/>
  <c r="B27" i="19" s="1"/>
  <c r="B37" i="21" a="1"/>
  <c r="B37" i="21" s="1"/>
  <c r="B47" i="21" a="1"/>
  <c r="B47" i="21" s="1"/>
  <c r="B44" i="21" a="1"/>
  <c r="B44" i="21" s="1"/>
  <c r="C17" i="19" a="1"/>
  <c r="C17" i="19" s="1"/>
  <c r="B24" i="16" a="1"/>
  <c r="B24" i="16" s="1"/>
  <c r="C31" i="21" a="1"/>
  <c r="C31" i="21" s="1"/>
  <c r="C84" i="21" a="1"/>
  <c r="C84" i="21" s="1"/>
  <c r="B58" i="21" a="1"/>
  <c r="B58" i="21" s="1"/>
  <c r="C74" i="21" a="1"/>
  <c r="C74" i="21" s="1"/>
  <c r="B46" i="21" a="1"/>
  <c r="B46" i="21" s="1"/>
  <c r="B34" i="16" a="1"/>
  <c r="B34" i="16" s="1"/>
  <c r="B60" i="21" a="1"/>
  <c r="B60" i="21" s="1"/>
  <c r="B45" i="21" a="1"/>
  <c r="B45" i="21" s="1"/>
  <c r="C40" i="21" a="1"/>
  <c r="C40" i="21" s="1"/>
  <c r="C20" i="21" a="1"/>
  <c r="C20" i="21" s="1"/>
  <c r="C21" i="21" a="1"/>
  <c r="C21" i="21" s="1"/>
  <c r="B26" i="19" a="1"/>
  <c r="B26" i="19" s="1"/>
  <c r="B69" i="21" a="1"/>
  <c r="B69" i="21" s="1"/>
  <c r="B25" i="19" a="1"/>
  <c r="B25" i="19" s="1"/>
  <c r="B24" i="21" a="1"/>
  <c r="B24" i="21" s="1"/>
  <c r="B26" i="16" a="1"/>
  <c r="B26" i="16" s="1"/>
  <c r="C28" i="21" a="1"/>
  <c r="C28" i="21" s="1"/>
  <c r="B31" i="16" a="1"/>
  <c r="B31" i="16" s="1"/>
  <c r="B23" i="21" a="1"/>
  <c r="B23" i="21" s="1"/>
  <c r="B30" i="16" a="1"/>
  <c r="B30" i="16" s="1"/>
  <c r="B20" i="21" a="1"/>
  <c r="B20" i="21" s="1"/>
  <c r="B73" i="21" a="1"/>
  <c r="B73" i="21" s="1"/>
  <c r="B27" i="21" a="1"/>
  <c r="B27" i="21" s="1"/>
  <c r="B21" i="16" a="1"/>
  <c r="B21" i="16" s="1"/>
  <c r="C55" i="21" a="1"/>
  <c r="C55" i="21" s="1"/>
  <c r="B18" i="16" a="1"/>
  <c r="B18" i="16" s="1"/>
  <c r="C65" i="21" a="1"/>
  <c r="C65" i="21" s="1"/>
  <c r="C62" i="21" a="1"/>
  <c r="C62" i="21" s="1"/>
  <c r="C51" i="21" a="1"/>
  <c r="C51" i="21" s="1"/>
  <c r="B36" i="16" a="1"/>
  <c r="B36" i="16" s="1"/>
  <c r="B50" i="21" a="1"/>
  <c r="B50" i="21" s="1"/>
  <c r="B16" i="19" l="1" a="1"/>
  <c r="B16" i="19" s="1"/>
  <c r="B36" i="21" a="1"/>
  <c r="B36" i="21" s="1"/>
  <c r="A7" i="26" a="1"/>
  <c r="C42" i="16" a="1"/>
  <c r="C42" i="16" s="1"/>
  <c r="C40" i="16" a="1"/>
  <c r="C40" i="16" s="1"/>
  <c r="C18" i="16" a="1"/>
  <c r="C18" i="16" s="1"/>
  <c r="C21" i="16" a="1"/>
  <c r="C21" i="16" s="1"/>
  <c r="C26" i="16" a="1"/>
  <c r="C26" i="16" s="1"/>
  <c r="B77" i="21" a="1"/>
  <c r="B77" i="21" s="1"/>
  <c r="C46" i="16" a="1"/>
  <c r="C46" i="16" s="1"/>
  <c r="C45" i="16" a="1"/>
  <c r="C45" i="16" s="1"/>
  <c r="C49" i="16" a="1"/>
  <c r="C49" i="16" s="1"/>
  <c r="C29" i="16" a="1"/>
  <c r="C29" i="16" s="1"/>
  <c r="B84" i="21" a="1"/>
  <c r="B84" i="21" s="1"/>
  <c r="C38" i="16" a="1"/>
  <c r="C38" i="16" s="1"/>
  <c r="C36" i="16" a="1"/>
  <c r="C36" i="16" s="1"/>
  <c r="B80" i="21" a="1"/>
  <c r="B80" i="21" s="1"/>
  <c r="C81" i="21" a="1"/>
  <c r="C81" i="21" s="1"/>
  <c r="C24" i="16" a="1"/>
  <c r="C24" i="16" s="1"/>
  <c r="C78" i="21" a="1"/>
  <c r="C78" i="21" s="1"/>
  <c r="C27" i="16" a="1"/>
  <c r="C27" i="16" s="1"/>
  <c r="C80" i="21" a="1"/>
  <c r="C80" i="21" s="1"/>
  <c r="C28" i="16" a="1"/>
  <c r="C28" i="16" s="1"/>
  <c r="C23" i="16" a="1"/>
  <c r="C23" i="16" s="1"/>
  <c r="C47" i="16" a="1"/>
  <c r="C47" i="16" s="1"/>
  <c r="B76" i="21" a="1"/>
  <c r="B76" i="21" s="1"/>
  <c r="C25" i="16" a="1"/>
  <c r="C25" i="16" s="1"/>
  <c r="C30" i="16" a="1"/>
  <c r="C30" i="16" s="1"/>
  <c r="B81" i="21" a="1"/>
  <c r="B81" i="21" s="1"/>
  <c r="B79" i="21" a="1"/>
  <c r="B79" i="21" s="1"/>
  <c r="B87" i="21" a="1"/>
  <c r="B87" i="21" s="1"/>
  <c r="C51" i="16" a="1"/>
  <c r="C51" i="16" s="1"/>
  <c r="C39" i="16" a="1"/>
  <c r="C39" i="16" s="1"/>
  <c r="C17" i="16" a="1"/>
  <c r="C17" i="16" s="1"/>
  <c r="C79" i="21" a="1"/>
  <c r="C79" i="21" s="1"/>
  <c r="C20" i="16" a="1"/>
  <c r="C20" i="16" s="1"/>
  <c r="C50" i="16" a="1"/>
  <c r="C50" i="16" s="1"/>
  <c r="C75" i="21" a="1"/>
  <c r="C75" i="21" s="1"/>
  <c r="B83" i="21" a="1"/>
  <c r="B83" i="21" s="1"/>
  <c r="C88" i="21" a="1"/>
  <c r="C88" i="21" s="1"/>
  <c r="C77" i="21" a="1"/>
  <c r="C77" i="21" s="1"/>
  <c r="C48" i="16" a="1"/>
  <c r="C48" i="16" s="1"/>
  <c r="C32" i="16" a="1"/>
  <c r="C32" i="16" s="1"/>
  <c r="C76" i="21" a="1"/>
  <c r="C76" i="21" s="1"/>
  <c r="C37" i="16" a="1"/>
  <c r="C37" i="16" s="1"/>
  <c r="C41" i="16" a="1"/>
  <c r="C41" i="16" s="1"/>
  <c r="C44" i="16" a="1"/>
  <c r="C44" i="16" s="1"/>
  <c r="C33" i="16" a="1"/>
  <c r="C33" i="16" s="1"/>
  <c r="C87" i="21" a="1"/>
  <c r="C87" i="21" s="1"/>
  <c r="B75" i="21" a="1"/>
  <c r="B75" i="21" s="1"/>
  <c r="C22" i="16" a="1"/>
  <c r="C22" i="16" s="1"/>
  <c r="B78" i="21" a="1"/>
  <c r="B78" i="21" s="1"/>
  <c r="C31" i="16" a="1"/>
  <c r="C31" i="16" s="1"/>
  <c r="C19" i="16" a="1"/>
  <c r="C19" i="16" s="1"/>
  <c r="A7" i="26" l="1"/>
  <c r="A8" i="26" s="1" a="1"/>
  <c r="A8" i="26" s="1"/>
  <c r="A9" i="26" s="1" a="1"/>
  <c r="A9" i="26" s="1"/>
  <c r="A10" i="26" s="1" a="1"/>
  <c r="A10" i="26" s="1"/>
  <c r="A11" i="26" s="1" a="1"/>
  <c r="A11" i="26" s="1"/>
  <c r="A12" i="26" s="1" a="1"/>
  <c r="A12" i="26" s="1"/>
  <c r="A13" i="26" s="1" a="1"/>
  <c r="A13" i="26" s="1"/>
  <c r="A14" i="26" s="1" a="1"/>
  <c r="A14" i="26" s="1"/>
  <c r="A15" i="26" s="1" a="1"/>
  <c r="A15" i="26" s="1"/>
  <c r="A16" i="26" s="1" a="1"/>
  <c r="A16" i="26" s="1"/>
  <c r="A17" i="26" s="1" a="1"/>
  <c r="A17" i="26" s="1"/>
  <c r="A18" i="26" s="1" a="1"/>
  <c r="A18" i="26" s="1"/>
  <c r="A19" i="26" s="1" a="1"/>
  <c r="A19" i="26" s="1"/>
  <c r="B20" i="26" l="1"/>
  <c r="D36" i="3" s="1"/>
  <c r="C20" i="26"/>
  <c r="E37" i="3" s="1"/>
  <c r="K20" i="26"/>
  <c r="M37" i="3" s="1"/>
  <c r="O20" i="26"/>
  <c r="Q37" i="3" s="1"/>
  <c r="E20" i="26"/>
  <c r="G36" i="3" s="1"/>
  <c r="R20" i="26"/>
  <c r="T37" i="3" s="1"/>
  <c r="I20" i="26"/>
  <c r="K36" i="3" s="1"/>
  <c r="G20" i="26"/>
  <c r="I36" i="3" s="1"/>
  <c r="S20" i="26"/>
  <c r="U37" i="3" s="1"/>
  <c r="L20" i="26"/>
  <c r="N36" i="3" s="1"/>
  <c r="W20" i="26"/>
  <c r="Y36" i="3" s="1"/>
  <c r="Q20" i="26"/>
  <c r="S36" i="3" s="1"/>
  <c r="T20" i="26"/>
  <c r="V36" i="3" s="1"/>
  <c r="H20" i="26"/>
  <c r="J36" i="3" s="1"/>
  <c r="Y20" i="26"/>
  <c r="AA36" i="3" s="1"/>
  <c r="X20" i="26"/>
  <c r="Z36" i="3" s="1"/>
  <c r="P20" i="26"/>
  <c r="R36" i="3" s="1"/>
  <c r="N20" i="26"/>
  <c r="P36" i="3" s="1"/>
  <c r="M20" i="26"/>
  <c r="O36" i="3" s="1"/>
  <c r="J20" i="26"/>
  <c r="L36" i="3" s="1"/>
  <c r="D20" i="26"/>
  <c r="F36" i="3" s="1"/>
  <c r="U20" i="26"/>
  <c r="W36" i="3" s="1"/>
  <c r="F20" i="26"/>
  <c r="H36" i="3" s="1"/>
  <c r="V20" i="26"/>
  <c r="X36" i="3" s="1"/>
  <c r="J37" i="3" l="1"/>
  <c r="T36" i="3"/>
  <c r="F37" i="3"/>
  <c r="G37" i="3"/>
  <c r="K37" i="3"/>
  <c r="I37" i="3"/>
  <c r="M36" i="3"/>
  <c r="V37" i="3"/>
  <c r="E36" i="3"/>
  <c r="N37" i="3"/>
  <c r="Z37" i="3"/>
  <c r="H37" i="3"/>
  <c r="S37" i="3"/>
  <c r="Y37" i="3"/>
  <c r="O37" i="3"/>
  <c r="P37" i="3"/>
  <c r="L37" i="3"/>
  <c r="Q36" i="3"/>
  <c r="W37" i="3"/>
  <c r="D37" i="3"/>
  <c r="U36" i="3"/>
  <c r="X37" i="3"/>
  <c r="AA37" i="3"/>
  <c r="R37" i="3"/>
  <c r="D7" i="3" l="1" a="1"/>
  <c r="D7" i="3" s="1"/>
  <c r="E7" i="3" a="1"/>
  <c r="E7" i="3" s="1"/>
  <c r="I7" i="3" l="1" a="1"/>
  <c r="I7" i="3" s="1"/>
  <c r="A8" i="2" l="1" a="1"/>
  <c r="A8" i="2" s="1"/>
  <c r="I10" i="13" s="1"/>
  <c r="H10" i="13" l="1"/>
  <c r="I9" i="13"/>
  <c r="H9" i="1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<sst xmlns="http://schemas.openxmlformats.org/spreadsheetml/2006/main" count="1871" uniqueCount="366">
  <si>
    <t>Index général tous travaux</t>
  </si>
  <si>
    <t>Travaux de génie civil et d’ouvrages d’art neufs ou rénovation</t>
  </si>
  <si>
    <t>Grands terrassements</t>
  </si>
  <si>
    <t>Travaux à l’explosif</t>
  </si>
  <si>
    <t xml:space="preserve">Fondations et travaux géotechniques </t>
  </si>
  <si>
    <t xml:space="preserve">Travaux en souterrains traditionnels </t>
  </si>
  <si>
    <t xml:space="preserve">Travaux en souterrains avec tunnelier </t>
  </si>
  <si>
    <t>Grands dragages maritimes </t>
  </si>
  <si>
    <t>Dragages fluviaux et petits dragages maritimes</t>
  </si>
  <si>
    <t>Fabrication et mise en œuvre d’enrobés </t>
  </si>
  <si>
    <t>Canalisations sans fourniture de tuyaux</t>
  </si>
  <si>
    <t>Réhabilitation de canalisations non visitables</t>
  </si>
  <si>
    <t>Réseaux de chauffage et de froid avec fourniture de tuyaux</t>
  </si>
  <si>
    <t>Canalisations grandes distances de transport / transfert  avec fourniture de tuyaux</t>
  </si>
  <si>
    <t>Réseaux d'énergie et de communication</t>
  </si>
  <si>
    <t>Éclairage public -Travaux d'installation</t>
  </si>
  <si>
    <t>Éclairage public - Travaux  de maintenance</t>
  </si>
  <si>
    <t>Réseaux de communication en fibre optique</t>
  </si>
  <si>
    <t>Base 2010</t>
  </si>
  <si>
    <t>TP01</t>
  </si>
  <si>
    <t>TP02</t>
  </si>
  <si>
    <t>TP03a</t>
  </si>
  <si>
    <t>TP03b</t>
  </si>
  <si>
    <t>TP04</t>
  </si>
  <si>
    <t>TP05a</t>
  </si>
  <si>
    <t>TP05b</t>
  </si>
  <si>
    <t>TP06a</t>
  </si>
  <si>
    <t>TP06b</t>
  </si>
  <si>
    <t>TP07b</t>
  </si>
  <si>
    <t>TP08</t>
  </si>
  <si>
    <t>TP09</t>
  </si>
  <si>
    <t>TP10b</t>
  </si>
  <si>
    <t>TP10c</t>
  </si>
  <si>
    <t>TP10d</t>
  </si>
  <si>
    <t>TP11</t>
  </si>
  <si>
    <t>TP12a</t>
  </si>
  <si>
    <t>TP12b</t>
  </si>
  <si>
    <t>TP12c</t>
  </si>
  <si>
    <t>TP12d</t>
  </si>
  <si>
    <t>3 MOIS</t>
  </si>
  <si>
    <t>6 MOIS</t>
  </si>
  <si>
    <t>*3 mois</t>
  </si>
  <si>
    <t>*6 mois</t>
  </si>
  <si>
    <t>base 2010</t>
  </si>
  <si>
    <t>base 2008</t>
  </si>
  <si>
    <t>base 2015</t>
  </si>
  <si>
    <t>base 2017</t>
  </si>
  <si>
    <t>001711009</t>
  </si>
  <si>
    <t>5540998</t>
  </si>
  <si>
    <t>001565195</t>
  </si>
  <si>
    <t>001764283</t>
  </si>
  <si>
    <t>001711011</t>
  </si>
  <si>
    <t>001711943</t>
  </si>
  <si>
    <t>010534769</t>
  </si>
  <si>
    <t>Fioul lourd</t>
  </si>
  <si>
    <t>Gazole routier HTT</t>
  </si>
  <si>
    <t>010534207</t>
  </si>
  <si>
    <t>010534575</t>
  </si>
  <si>
    <t>010534646</t>
  </si>
  <si>
    <t>010546545</t>
  </si>
  <si>
    <t>010534625</t>
  </si>
  <si>
    <t>010534642</t>
  </si>
  <si>
    <t>010536462</t>
  </si>
  <si>
    <t>010534598</t>
  </si>
  <si>
    <t>010534252</t>
  </si>
  <si>
    <t>010534647</t>
  </si>
  <si>
    <t>010534662</t>
  </si>
  <si>
    <t>010534638</t>
  </si>
  <si>
    <t>010534559</t>
  </si>
  <si>
    <t>010534606</t>
  </si>
  <si>
    <t>010534654</t>
  </si>
  <si>
    <t>010534645</t>
  </si>
  <si>
    <t>010534330</t>
  </si>
  <si>
    <t>010534696</t>
  </si>
  <si>
    <t>010534698</t>
  </si>
  <si>
    <t>010534702</t>
  </si>
  <si>
    <t>010535345</t>
  </si>
  <si>
    <t>010534180</t>
  </si>
  <si>
    <t>010534267</t>
  </si>
  <si>
    <t>010536480</t>
  </si>
  <si>
    <t>010534667</t>
  </si>
  <si>
    <t>001763781</t>
  </si>
  <si>
    <t>010534789</t>
  </si>
  <si>
    <t>010534784</t>
  </si>
  <si>
    <t>https://www.insee.fr/fr/statistiques/serie/001711009</t>
  </si>
  <si>
    <t>https://www.insee.fr/fr/statistiques/serie/001565195</t>
  </si>
  <si>
    <t>https://www.insee.fr/fr/statistiques/serie/001764283</t>
  </si>
  <si>
    <t>https://www.insee.fr/fr/statistiques/serie/001711011</t>
  </si>
  <si>
    <t>https://www.insee.fr/fr/statistiques/serie/001711943</t>
  </si>
  <si>
    <t>https://www.insee.fr/fr/statistiques/serie/010534769</t>
  </si>
  <si>
    <t>https://www.fntp.fr/sites/default/files/content/indice_gazole_htt.pdf</t>
  </si>
  <si>
    <t>https://www.insee.fr/fr/statistiques/serie/010534207</t>
  </si>
  <si>
    <t>https://www.insee.fr/fr/statistiques/serie/010534575</t>
  </si>
  <si>
    <t>https://www.insee.fr/fr/statistiques/serie/010534646</t>
  </si>
  <si>
    <t>https://www.insee.fr/fr/statistiques/serie/010546545</t>
  </si>
  <si>
    <t>https://www.insee.fr/fr/statistiques/serie/010536067</t>
  </si>
  <si>
    <t>https://www.insee.fr/fr/statistiques/serie/010534625</t>
  </si>
  <si>
    <t>https://www.insee.fr/fr/statistiques/serie/010534642</t>
  </si>
  <si>
    <t>https://www.insee.fr/fr/statistiques/serie/010536462</t>
  </si>
  <si>
    <t>https://www.insee.fr/fr/statistiques/serie/010534598</t>
  </si>
  <si>
    <t>https://www.insee.fr/fr/statistiques/serie/010534252</t>
  </si>
  <si>
    <t>https://www.insee.fr/fr/statistiques/serie/010534647</t>
  </si>
  <si>
    <t>https://www.insee.fr/fr/statistiques/serie/010534662</t>
  </si>
  <si>
    <t>https://www.insee.fr/fr/statistiques/serie/010534638</t>
  </si>
  <si>
    <t>https://www.insee.fr/fr/statistiques/serie/010534606</t>
  </si>
  <si>
    <t>https://www.insee.fr/fr/statistiques/serie/010534654</t>
  </si>
  <si>
    <t>https://www.insee.fr/fr/statistiques/serie/010534645</t>
  </si>
  <si>
    <t>https://www.insee.fr/fr/statistiques/serie/010534330</t>
  </si>
  <si>
    <t>https://www.insee.fr/fr/statistiques/serie/010534696</t>
  </si>
  <si>
    <t>https://www.insee.fr/fr/statistiques/serie/010534698</t>
  </si>
  <si>
    <t>https://www.insee.fr/fr/statistiques/serie/010534702</t>
  </si>
  <si>
    <t>https://www.insee.fr/fr/statistiques/serie/010535345</t>
  </si>
  <si>
    <t>https://www.insee.fr/fr/statistiques/serie/010534180</t>
  </si>
  <si>
    <t>https://www.insee.fr/fr/statistiques/serie/010534267</t>
  </si>
  <si>
    <t>https://www.insee.fr/fr/statistiques/serie/010536480</t>
  </si>
  <si>
    <t>Matériel</t>
  </si>
  <si>
    <t>Travail</t>
  </si>
  <si>
    <t>Travail activités spécialisées</t>
  </si>
  <si>
    <t>Gazole</t>
  </si>
  <si>
    <t>Frais divers</t>
  </si>
  <si>
    <t>Transports routiers</t>
  </si>
  <si>
    <t>Électricité vendue aux entreprises consommatrices finales</t>
  </si>
  <si>
    <t>Tubes, tuyaux en matière plastique</t>
  </si>
  <si>
    <t>Ensemble des produits du sciage</t>
  </si>
  <si>
    <t>Béton prêt à l'emploi</t>
  </si>
  <si>
    <t>Barres crénelées ou nervurées pour béton armé</t>
  </si>
  <si>
    <t>Sables et granulats</t>
  </si>
  <si>
    <t>Plaques, feuilles, tubes et profilés en matières plastiques</t>
  </si>
  <si>
    <t>Ciment, chaux et plâtre</t>
  </si>
  <si>
    <t>Acier pour la construction</t>
  </si>
  <si>
    <t>Bitume</t>
  </si>
  <si>
    <t>Produits de voierie en béton</t>
  </si>
  <si>
    <t>Mortiers et bétons secs</t>
  </si>
  <si>
    <t>Travaux de fonderie de fonte</t>
  </si>
  <si>
    <t>Tuiles, briques et produits de construction en terre cuite</t>
  </si>
  <si>
    <t>Matières plastiques sous formes primaires</t>
  </si>
  <si>
    <t>Tubes, tuyaux, profilés creux et accessoires correspondants en acier</t>
  </si>
  <si>
    <t>Éléments en béton pour la construction</t>
  </si>
  <si>
    <t>Fils et câbles d'énergie</t>
  </si>
  <si>
    <t>Moteurs, génératrices, transfo. électr., matér. distrib., cmde électr.</t>
  </si>
  <si>
    <t>Matériel de distribution et de commande électrique</t>
  </si>
  <si>
    <t>Appareils d'éclairage électrique</t>
  </si>
  <si>
    <t>Câbles de fibres optiques</t>
  </si>
  <si>
    <t>Peintures Industries</t>
  </si>
  <si>
    <t>Produits sidérurgiques en acier non allié</t>
  </si>
  <si>
    <t>Tôles quarto et autres produits plats en aciers non alliés de qualité</t>
  </si>
  <si>
    <t>Éléments en métal pour la construction</t>
  </si>
  <si>
    <t>Restaurants et hôtels</t>
  </si>
  <si>
    <t>Traitement et élimination des déchets non dangereux</t>
  </si>
  <si>
    <t>Collecte, traitement et élimination des déchets ; récupération de matériaux</t>
  </si>
  <si>
    <t>Indice</t>
  </si>
  <si>
    <t>Prix HTVA</t>
  </si>
  <si>
    <t>Date</t>
  </si>
  <si>
    <t>Prix HTT et TTC depuis janvier 2020 (XLSX - 48.08 Ko)</t>
  </si>
  <si>
    <t>PRIX DE VENTE H.T.V.A.</t>
  </si>
  <si>
    <t>Fioul lourd (teneur en soufre &lt;= 1%) en euro par tonne</t>
  </si>
  <si>
    <t>MOYENNES MENSUELLES</t>
  </si>
  <si>
    <t>Sont repris ici l'ensemble des indices entrant dans la composition de tous les index TP</t>
  </si>
  <si>
    <t>CLASSEMENT DES INDEX SELON LEUR ÉVOLUTION SUR 3 ET 6 MOIS GLISSANTS</t>
  </si>
  <si>
    <t>CLASSEMENT DES INDICES SELON LEUR ÉVOLUTION SUR 3 ET 6 MOIS GLISSANTS</t>
  </si>
  <si>
    <t>Index souhaité</t>
  </si>
  <si>
    <t>Evolution des indices communs à la plupart des index</t>
  </si>
  <si>
    <t>Transport</t>
  </si>
  <si>
    <t>Ensemble hors matériaux</t>
  </si>
  <si>
    <t>K</t>
  </si>
  <si>
    <t>L</t>
  </si>
  <si>
    <t>E</t>
  </si>
  <si>
    <t>S</t>
  </si>
  <si>
    <t>T</t>
  </si>
  <si>
    <t>M</t>
  </si>
  <si>
    <t>D</t>
  </si>
  <si>
    <t>ss</t>
  </si>
  <si>
    <t xml:space="preserve">Part dans le TP01 = </t>
  </si>
  <si>
    <t>Energie</t>
  </si>
  <si>
    <t>Matériaux</t>
  </si>
  <si>
    <t>Déchets</t>
  </si>
  <si>
    <t xml:space="preserve">Index = </t>
  </si>
  <si>
    <t/>
  </si>
  <si>
    <t>EVOLUTION DES INDEX ET INDICES TP SELON LA PÉRIODE DÉSIRÉE</t>
  </si>
  <si>
    <t>Période souhaitée</t>
  </si>
  <si>
    <t>DATE A DATE</t>
  </si>
  <si>
    <t>EVOL INDICE DATE A DATE</t>
  </si>
  <si>
    <t>EVOL INDEX DATE A DATE</t>
  </si>
  <si>
    <t>INDEX</t>
  </si>
  <si>
    <t>INDICES</t>
  </si>
  <si>
    <t>CLASSEMENT EVOL INDEX</t>
  </si>
  <si>
    <t>EVOL INDEX</t>
  </si>
  <si>
    <t>EVOL INDICES</t>
  </si>
  <si>
    <t>CLASSEMENT EVOL INDICES</t>
  </si>
  <si>
    <t xml:space="preserve">DEPUIS JANVIER, MOIS GLISSANTS </t>
  </si>
  <si>
    <t>MOIS DE REFERENCE (dernières dispoinibilités INDEX) :</t>
  </si>
  <si>
    <t>CLASSEMENT EVOL</t>
  </si>
  <si>
    <t>CUMUL EN N</t>
  </si>
  <si>
    <t>CUMULS EN N-1</t>
  </si>
  <si>
    <t>CUMULS EN N-2</t>
  </si>
  <si>
    <t>CUMULS INDEX</t>
  </si>
  <si>
    <t>CUMULS INDICES</t>
  </si>
  <si>
    <t>CUMULS EN N</t>
  </si>
  <si>
    <t xml:space="preserve">Cumuls : </t>
  </si>
  <si>
    <t>DEPUIS JANVIER</t>
  </si>
  <si>
    <t>3-6 MOIS</t>
  </si>
  <si>
    <t>NUM. =</t>
  </si>
  <si>
    <t xml:space="preserve">DENUM. = </t>
  </si>
  <si>
    <t>https://www.insee.fr/fr/statistiques/serie/001711007</t>
  </si>
  <si>
    <t>https://www.insee.fr/fr/statistiques/serie/001710987</t>
  </si>
  <si>
    <t>https://www.insee.fr/fr/statistiques/serie/001710988</t>
  </si>
  <si>
    <t>https://www.insee.fr/fr/statistiques/serie/001710990</t>
  </si>
  <si>
    <t>https://www.insee.fr/fr/statistiques/serie/001710991</t>
  </si>
  <si>
    <t>https://www.insee.fr/fr/statistiques/serie/001710992</t>
  </si>
  <si>
    <t>https://www.insee.fr/fr/statistiques/serie/001710993</t>
  </si>
  <si>
    <t>https://www.insee.fr/fr/statistiques/serie/001710994</t>
  </si>
  <si>
    <t>https://www.insee.fr/fr/statistiques/serie/001710995</t>
  </si>
  <si>
    <t>https://www.insee.fr/fr/statistiques/serie/001710996</t>
  </si>
  <si>
    <t>https://www.insee.fr/fr/statistiques/serie/001710997</t>
  </si>
  <si>
    <t>https://www.insee.fr/fr/statistiques/serie/001710999</t>
  </si>
  <si>
    <t>https://www.insee.fr/fr/statistiques/serie/001711000</t>
  </si>
  <si>
    <t>https://www.insee.fr/fr/statistiques/serie/010605983</t>
  </si>
  <si>
    <t>https://www.insee.fr/fr/statistiques/serie/001711001</t>
  </si>
  <si>
    <t>https://www.insee.fr/fr/statistiques/serie/001711002</t>
  </si>
  <si>
    <t>https://www.insee.fr/fr/statistiques/serie/001711003</t>
  </si>
  <si>
    <t>https://www.insee.fr/fr/statistiques/serie/001711004</t>
  </si>
  <si>
    <t>https://www.insee.fr/fr/statistiques/serie/001796841</t>
  </si>
  <si>
    <t>NOTICE D'UTILISATION DE L'OUTIL INDEX - INDICES DATE À DATE</t>
  </si>
  <si>
    <t>Dans un contexte de forte volatilité du prix des matières premières, la FNTP met à disposition des FRTP et des Syndicats de spécialités cet outil pour objectiver les évolutions des index TP et des indices entrant dans leur composition. Il permet d'avoir une vision claire, simple et partagée des évolutions sur une période souhaitée et sera régulièrement actualisé.</t>
  </si>
  <si>
    <t>Ce document est un outil d'aide à destination des entreprises de Travaux Publics établi sur la base des données de l'Insee. Il s'agit d'informations communiquées à titre informatif.</t>
  </si>
  <si>
    <t>Cet outil est composé d'un onglet permettant d'observer l'évolution de l'index souhaité entre deux dates souhaitées.</t>
  </si>
  <si>
    <r>
      <t>R</t>
    </r>
    <r>
      <rPr>
        <b/>
        <i/>
        <sz val="9"/>
        <color theme="0"/>
        <rFont val="Calibri"/>
        <family val="2"/>
        <scheme val="minor"/>
      </rPr>
      <t>ésultats date à date</t>
    </r>
  </si>
  <si>
    <t>Pour sélectionner l'index qui vous intéresse, il suffit de le selectionner dans la liste déroulante en haut de la page.</t>
  </si>
  <si>
    <t>Pour sélectionner les dates qui vous intéresse, il suffit de les inscrire en haut à droite de la page.</t>
  </si>
  <si>
    <t>La partie haute présente l'évolution de l'index TP sélectionné dans la liste déroulante en comparaison de l'index TP01 sur la période désirée. Le graphique de droite présente la composition globale de l'index sélectionné.</t>
  </si>
  <si>
    <t>La partie centrale présente l'évolution des indices communs à la plupart des index TP sur la période désirée, en détaillant la part respective de ces indices dans l'index TP sélectionné. Les évolutions des trois postes principaux (Matériel, Travail et GNR) sont représentées sous forme de courbes.</t>
  </si>
  <si>
    <t>La dernière partie présente l'évolution des indices spécifiques à l'index TP sélectionné sur la période désirée. Les évolutions des deux postes principaux sont représentées sous forme de courbes.</t>
  </si>
  <si>
    <t>NOTICE D'UTILISATION DU BAROMETRE INDEX - INDICES</t>
  </si>
  <si>
    <t>Dans un contexte de forte volatilité du prix des matières premières, la FNTP met à disposition des FRTP et des Syndicats de spécialités ce baromètre pour objectiver les évolutions des index TP et des indices entrant dans leur composition. Il permet d'avoir une vision claire, simple et partagée des évolutions et tendances de moyen terme et court terme, et sera régulièrement actualisé.</t>
  </si>
  <si>
    <t xml:space="preserve">Chaque partie fait l'objet de deux onglets distincts : </t>
  </si>
  <si>
    <t>Ces deux onglets présentent le classement des 23 index TP selon leurs évolutions (par ordre décroissant) :</t>
  </si>
  <si>
    <r>
      <t xml:space="preserve">Résultats : </t>
    </r>
    <r>
      <rPr>
        <b/>
        <i/>
        <sz val="9"/>
        <color theme="0"/>
        <rFont val="Calibri"/>
        <family val="2"/>
        <scheme val="minor"/>
      </rPr>
      <t>Résultats depuis janvier</t>
    </r>
    <r>
      <rPr>
        <b/>
        <sz val="9"/>
        <color theme="0"/>
        <rFont val="Calibri"/>
        <family val="2"/>
        <scheme val="minor"/>
      </rPr>
      <t xml:space="preserve"> et </t>
    </r>
    <r>
      <rPr>
        <b/>
        <i/>
        <sz val="9"/>
        <color theme="0"/>
        <rFont val="Calibri"/>
        <family val="2"/>
        <scheme val="minor"/>
      </rPr>
      <t>Résultats 3-6 mois glissants</t>
    </r>
  </si>
  <si>
    <t>La partie haute de ces deux onglets présente l'évolution de l'index TP sélectionné dans la liste déroulante en comparaison de l'index TP01. Le graphique de droite présente la composition globale de l'index sélectionné.</t>
  </si>
  <si>
    <t>La partie centrale présente l'évolution des indices communs à la plupart des index TP, en détaillant la part respective de ces indices dans l'index TP sélectionné. Les évolutions des trois postes principaux (Matériel, Travail et GNR) sont représentées sous forme de courbes.</t>
  </si>
  <si>
    <t>La dernière partie présente l'évolution des indices spécifiques à l'index TP sélectionné. Les évolutions des deux postes principaux sont représentées sous forme de courbes.</t>
  </si>
  <si>
    <r>
      <t xml:space="preserve">Evolutions des indices : </t>
    </r>
    <r>
      <rPr>
        <b/>
        <i/>
        <sz val="9"/>
        <color theme="0"/>
        <rFont val="Calibri"/>
        <family val="2"/>
        <scheme val="minor"/>
      </rPr>
      <t xml:space="preserve">Evol indices depuis janvier </t>
    </r>
    <r>
      <rPr>
        <b/>
        <sz val="9"/>
        <color theme="0"/>
        <rFont val="Calibri"/>
        <family val="2"/>
        <scheme val="minor"/>
      </rPr>
      <t>et</t>
    </r>
    <r>
      <rPr>
        <b/>
        <i/>
        <sz val="9"/>
        <color theme="0"/>
        <rFont val="Calibri"/>
        <family val="2"/>
        <scheme val="minor"/>
      </rPr>
      <t xml:space="preserve"> Evol indices 3-6 mois glissants</t>
    </r>
  </si>
  <si>
    <t>Ces deux onglets présentent le classement des 41 indices entrant dans la composition des index TP selon leurs évolutions (par ordre décroissant) :</t>
  </si>
  <si>
    <t>DEPUIS JANVIER (DATE 3)</t>
  </si>
  <si>
    <t>DEPUIS JANVIER (DATE 4)</t>
  </si>
  <si>
    <t>DERNIERES DISPONIBILITES INDICES :</t>
  </si>
  <si>
    <t xml:space="preserve">Ces évolutions  prennent en compte les dernières valeurs diponibles des indices TP. </t>
  </si>
  <si>
    <t>DERNIERES EVOLUTIONS DES INDICES</t>
  </si>
  <si>
    <t>A. EVOLUTION SUR 12 MOIS (LONG TERME)</t>
  </si>
  <si>
    <t>C. EVOLUTION SUR 3-6 MOIS (COURT-MOYEN TERME)</t>
  </si>
  <si>
    <t>3-6 MOIS (DATE4)</t>
  </si>
  <si>
    <t>3-6 MOIS (DATE3)</t>
  </si>
  <si>
    <t xml:space="preserve">*12 mois </t>
  </si>
  <si>
    <t>*24 mois</t>
  </si>
  <si>
    <t>https://www.insee.fr/fr/statistiques/serie/010758171#Tableau</t>
  </si>
  <si>
    <t>https://www.insee.fr/fr/statistiques/serie/001710989</t>
  </si>
  <si>
    <r>
      <t xml:space="preserve">Evolutions des index : </t>
    </r>
    <r>
      <rPr>
        <b/>
        <i/>
        <sz val="9"/>
        <color theme="0"/>
        <rFont val="Calibri"/>
        <family val="2"/>
        <scheme val="minor"/>
      </rPr>
      <t>Evol index depuis janvier</t>
    </r>
    <r>
      <rPr>
        <b/>
        <sz val="9"/>
        <color theme="0"/>
        <rFont val="Calibri"/>
        <family val="2"/>
        <scheme val="minor"/>
      </rPr>
      <t xml:space="preserve"> et </t>
    </r>
    <r>
      <rPr>
        <b/>
        <i/>
        <sz val="9"/>
        <color theme="0"/>
        <rFont val="Calibri"/>
        <family val="2"/>
        <scheme val="minor"/>
      </rPr>
      <t>Evol index 3-6 mois glissants</t>
    </r>
  </si>
  <si>
    <t>010534613</t>
  </si>
  <si>
    <t>https://www.insee.fr/fr/statistiques/serie/010534613</t>
  </si>
  <si>
    <t>Autres produits chimiques</t>
  </si>
  <si>
    <t>https://www.insee.fr/fr/statistiques/serie/010534554</t>
  </si>
  <si>
    <t>010534554</t>
  </si>
  <si>
    <t>Autres textiles</t>
  </si>
  <si>
    <t xml:space="preserve">Autres textiles </t>
  </si>
  <si>
    <t>Gaz naturel</t>
  </si>
  <si>
    <t>010534776</t>
  </si>
  <si>
    <t>https://www.insee.fr/fr/statistiques/serie/010534776</t>
  </si>
  <si>
    <t>Réseaux d’assainissement</t>
  </si>
  <si>
    <t>https://www.insee.fr/fr/statistiques/serie/010760506</t>
  </si>
  <si>
    <t>010760506</t>
  </si>
  <si>
    <t>TP10e</t>
  </si>
  <si>
    <t>TP10f</t>
  </si>
  <si>
    <t>TP13a</t>
  </si>
  <si>
    <t>TP13b</t>
  </si>
  <si>
    <t>Charpentes et ouvrages d'art métalliques sans fourntiure des aciers</t>
  </si>
  <si>
    <t>Base 2011</t>
  </si>
  <si>
    <t>Travaux de génie civil, béton et acier pour ouvrages maritimes et fluviaux</t>
  </si>
  <si>
    <t>Canalisations, assainnissement et adduction d'eau avec fourniture de tuyaux en fonte majoritaire</t>
  </si>
  <si>
    <t>Canalisations, assainnissement et adduction d'eau avec fourniture de tuyaux avec fourniture de tuyaux multi-matériaux</t>
  </si>
  <si>
    <t>Charpentes et ouvrages d'art métalliques</t>
  </si>
  <si>
    <t>https://www.insee.fr/fr/statistiques/serie/010777519</t>
  </si>
  <si>
    <t>https://www.insee.fr/fr/statistiques/serie/010764291</t>
  </si>
  <si>
    <t>https://www.insee.fr/fr/statistiques/serie/010764297</t>
  </si>
  <si>
    <t>https://www.insee.fr/fr/statistiques/serie/010763845</t>
  </si>
  <si>
    <t> 010764116</t>
  </si>
  <si>
    <t>https://www.insee.fr/fr/statistiques/serie/010764116#Tableau</t>
  </si>
  <si>
    <t>https://www.insee.fr/fr/statistiques/serie/010764180</t>
  </si>
  <si>
    <t>https://www.insee.fr/fr/statistiques/serie/010766236</t>
  </si>
  <si>
    <t>https://www.insee.fr/fr/statistiques/serie/010765500</t>
  </si>
  <si>
    <t>https://www.insee.fr/fr/statistiques/serie/010764160</t>
  </si>
  <si>
    <t>https://www.insee.fr/fr/statistiques/serie/010764176</t>
  </si>
  <si>
    <t>https://www.insee.fr/fr/statistiques/serie/010764149</t>
  </si>
  <si>
    <t>https://www.insee.fr/fr/statistiques/serie/010765837</t>
  </si>
  <si>
    <t>https://www.insee.fr/fr/statistiques/serie/010764136</t>
  </si>
  <si>
    <t>https://www.insee.fr/fr/statistiques/serie/010763871</t>
  </si>
  <si>
    <t>https://www.insee.fr/fr/statistiques/serie/010764181</t>
  </si>
  <si>
    <t>https://www.insee.fr/fr/statistiques/serie/010764195</t>
  </si>
  <si>
    <t>https://www.insee.fr/fr/statistiques/serie/010764172</t>
  </si>
  <si>
    <t>https://www.insee.fr/fr/statistiques/serie/010766292</t>
  </si>
  <si>
    <t>https://www.insee.fr/fr/statistiques/serie/010764101</t>
  </si>
  <si>
    <t>https://www.insee.fr/fr/statistiques/serie/010764143</t>
  </si>
  <si>
    <t>https://www.insee.fr/fr/statistiques/serie/010764187</t>
  </si>
  <si>
    <t>https://www.insee.fr/fr/statistiques/serie/010764179</t>
  </si>
  <si>
    <t>https://www.insee.fr/fr/statistiques/serie/010763930</t>
  </si>
  <si>
    <t>https://www.insee.fr/fr/statistiques/serie/010764223</t>
  </si>
  <si>
    <t>https://www.insee.fr/fr/statistiques/serie/010764224</t>
  </si>
  <si>
    <t>https://www.insee.fr/fr/statistiques/serie/010764834</t>
  </si>
  <si>
    <t>https://www.insee.fr/fr/statistiques/serie/010763825</t>
  </si>
  <si>
    <t>https://www.insee.fr/fr/statistiques/serie/010763881</t>
  </si>
  <si>
    <t>https://www.insee.fr/fr/statistiques/serie/010765839</t>
  </si>
  <si>
    <t>https://www.insee.fr/fr/statistiques/serie/010764306</t>
  </si>
  <si>
    <t>https://www.insee.fr/fr/statistiques/serie/010764301</t>
  </si>
  <si>
    <t>https://www.insee.fr/fr/statistiques/serie/010777582</t>
  </si>
  <si>
    <t>https://www.insee.fr/fr/statistiques/serie/010777583</t>
  </si>
  <si>
    <t>https://www.insee.fr/fr/statistiques/serie/010777526</t>
  </si>
  <si>
    <t>https://www.insee.fr/fr/statistiques/serie/010777525</t>
  </si>
  <si>
    <t>Charpentes et ouvrages d'art métalliques sans fourniture des aciers</t>
  </si>
  <si>
    <t>GNR pour les Travaux Publics</t>
  </si>
  <si>
    <t>010777519</t>
  </si>
  <si>
    <t>https://www.insee.fr/fr/statistiques/serie/010764228</t>
  </si>
  <si>
    <t>010765500</t>
  </si>
  <si>
    <t>010764291</t>
  </si>
  <si>
    <t>010764297</t>
  </si>
  <si>
    <t>010763845</t>
  </si>
  <si>
    <t>010764180</t>
  </si>
  <si>
    <t>010766236</t>
  </si>
  <si>
    <t>010764160</t>
  </si>
  <si>
    <t>010764176</t>
  </si>
  <si>
    <t>010764149</t>
  </si>
  <si>
    <t>010765837</t>
  </si>
  <si>
    <t>010764136</t>
  </si>
  <si>
    <t>010763871</t>
  </si>
  <si>
    <t>010764181</t>
  </si>
  <si>
    <t>010764195</t>
  </si>
  <si>
    <t>010764172</t>
  </si>
  <si>
    <t>010766292</t>
  </si>
  <si>
    <t>010764101</t>
  </si>
  <si>
    <t>010764143</t>
  </si>
  <si>
    <t>010764187</t>
  </si>
  <si>
    <t>010764179</t>
  </si>
  <si>
    <t>010763930</t>
  </si>
  <si>
    <t>010764223</t>
  </si>
  <si>
    <t>010764224</t>
  </si>
  <si>
    <t>010764228</t>
  </si>
  <si>
    <t>010764834</t>
  </si>
  <si>
    <t>010763825</t>
  </si>
  <si>
    <t>010763881</t>
  </si>
  <si>
    <t>010765839</t>
  </si>
  <si>
    <t>010764306</t>
  </si>
  <si>
    <t>010764301</t>
  </si>
  <si>
    <t>Travaux d’aménagement et entretien de voirie en zones rurales et urbaines</t>
  </si>
  <si>
    <t>Travaux d’aménagement et entretien de voirie en zones rurale et urbaine</t>
  </si>
  <si>
    <t>Travaux d’aménagement et entretien de voirie en zonesrurale et urbaine</t>
  </si>
  <si>
    <t>https://www.insee.fr/fr/statistiques/8308500</t>
  </si>
  <si>
    <t>,</t>
  </si>
  <si>
    <t>https://www.insee.fr/fr/statistiques/8640217</t>
  </si>
  <si>
    <t>8640217</t>
  </si>
  <si>
    <t>https://www.insee.fr/fr/statistiques/8682743</t>
  </si>
  <si>
    <t>https://www.insee.fr/fr/statistiques/serie/011816634</t>
  </si>
  <si>
    <t>011816634</t>
  </si>
  <si>
    <t>https://www.insee.fr/fr/statistiques/8899388</t>
  </si>
  <si>
    <t>https://www.insee.fr/fr/statistiques/serie/011800704</t>
  </si>
  <si>
    <t>011800704</t>
  </si>
  <si>
    <t>Travail, Travail activités spécialisées</t>
  </si>
  <si>
    <t>actualisation mars 2026</t>
  </si>
  <si>
    <t>Réseaux d’assainissement, Fils et cable d'énergie, Acier pour la construction</t>
  </si>
  <si>
    <t>actualisation février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</si>
</sst>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7">
    <numFmt numFmtId="164" formatCode="mmm\-yyyy"/>
    <numFmt numFmtId="165" formatCode="\+0.00%;\ \-0.00%;\ 0.00%"/>
    <numFmt numFmtId="166" formatCode="0.0"/>
    <numFmt numFmtId="167" formatCode="_-* #,##0.00\ _€_-;\-* #,##0.00\ _€_-;_-* &quot;-&quot;??\ _€_-;_-@_-"/>
    <numFmt numFmtId="168" formatCode="\+0.0%;\-0.0%"/>
    <numFmt numFmtId="169" formatCode="0.0%"/>
    <numFmt numFmtId="170" formatCode="[$-40C]mmm\-yy;@"/>
    <numFmt numFmtId="171" formatCode="mmm\.\ yyyy"/>
    <numFmt numFmtId="172" formatCode="mm/yyyy"/>
    <numFmt numFmtId="173" formatCode="0.00000"/>
    <numFmt numFmtId="174" formatCode="\+0.0%;\ \-0.0%;\ 0.0%"/>
    <numFmt numFmtId="175" formatCode="0.000"/>
    <numFmt numFmtId="176" formatCode="000.0\ &quot;(A)&quot;"/>
    <numFmt numFmtId="177" formatCode="_-* #,##0.00\ _€_-;\-* #,##0.00\ _€_-;_-* \-??\ _€_-;_-@_-"/>
    <numFmt numFmtId="178" formatCode="0\ %"/>
    <numFmt numFmtId="179" formatCode="0.00000000"/>
    <numFmt numFmtId="180" formatCode="[$-40C]mmmm\-yy;@"/>
  </numFmts>
  <fonts count="56">
    <font>
      <sz val="11"/>
      <color theme="1"/>
      <name val="Calibri"/>
      <family val="2"/>
      <scheme val="minor"/>
    </font>
    <font>
      <sz val="9"/>
      <color theme="1"/>
      <name val="Calibri"/>
      <family val="2"/>
      <scheme val="minor"/>
    </font>
    <font>
      <sz val="11"/>
      <color theme="1"/>
      <name val="Calibri"/>
      <family val="2"/>
      <scheme val="minor"/>
    </font>
    <font>
      <b/>
      <sz val="9"/>
      <color theme="0"/>
      <name val="Calibri"/>
      <family val="2"/>
      <scheme val="minor"/>
    </font>
    <font>
      <b/>
      <sz val="9"/>
      <color theme="1"/>
      <name val="Calibri"/>
      <family val="2"/>
      <scheme val="minor"/>
    </font>
    <font>
      <b/>
      <sz val="9"/>
      <color theme="5"/>
      <name val="Calibri"/>
      <family val="2"/>
      <scheme val="minor"/>
    </font>
    <font>
      <b/>
      <sz val="9"/>
      <color rgb="FFFFFFFF"/>
      <name val="Calibri"/>
      <family val="2"/>
    </font>
    <font>
      <sz val="9"/>
      <color rgb="FF000000"/>
      <name val="Calibri"/>
      <family val="2"/>
    </font>
    <font>
      <b/>
      <sz val="9"/>
      <color rgb="FF0046C8"/>
      <name val="Calibri"/>
      <family val="2"/>
    </font>
    <font>
      <u/>
      <sz val="11"/>
      <color theme="10"/>
      <name val="Calibri"/>
      <family val="2"/>
      <scheme val="minor"/>
    </font>
    <font>
      <sz val="9"/>
      <color rgb="FFFF0000"/>
      <name val="Work Sans"/>
      <family val="2"/>
    </font>
    <font>
      <sz val="10"/>
      <name val="Arial"/>
      <family val="2"/>
    </font>
    <font>
      <b/>
      <sz val="9"/>
      <name val="Calibri"/>
      <family val="2"/>
      <scheme val="minor"/>
    </font>
    <font>
      <b/>
      <sz val="9"/>
      <color theme="9"/>
      <name val="Calibri"/>
      <family val="2"/>
      <scheme val="minor"/>
    </font>
    <font>
      <b/>
      <u/>
      <sz val="9"/>
      <color theme="1"/>
      <name val="Calibri"/>
      <family val="2"/>
      <scheme val="minor"/>
    </font>
    <font>
      <b/>
      <u/>
      <sz val="9"/>
      <color theme="0"/>
      <name val="Calibri"/>
      <family val="2"/>
      <scheme val="minor"/>
    </font>
    <font>
      <sz val="9"/>
      <color theme="0"/>
      <name val="Calibri"/>
      <family val="2"/>
      <scheme val="minor"/>
    </font>
    <font>
      <i/>
      <sz val="9"/>
      <color theme="1"/>
      <name val="Calibri"/>
      <family val="2"/>
      <scheme val="minor"/>
    </font>
    <font>
      <i/>
      <sz val="8"/>
      <color theme="1"/>
      <name val="Calibri"/>
      <family val="2"/>
      <scheme val="minor"/>
    </font>
    <font>
      <i/>
      <sz val="9"/>
      <name val="Calibri"/>
      <family val="2"/>
      <scheme val="minor"/>
    </font>
    <font>
      <b/>
      <sz val="11"/>
      <color theme="1"/>
      <name val="Calibri"/>
      <family val="2"/>
      <scheme val="minor"/>
    </font>
    <font>
      <b/>
      <sz val="10"/>
      <color theme="1"/>
      <name val="Calibri"/>
      <family val="2"/>
      <scheme val="minor"/>
    </font>
    <font>
      <b/>
      <sz val="14"/>
      <color theme="1"/>
      <name val="Calibri"/>
      <family val="2"/>
      <scheme val="minor"/>
    </font>
    <font>
      <b/>
      <sz val="12"/>
      <color theme="1"/>
      <name val="Calibri"/>
      <family val="2"/>
      <scheme val="minor"/>
    </font>
    <font>
      <b/>
      <i/>
      <sz val="11"/>
      <color theme="1"/>
      <name val="Calibri"/>
      <family val="2"/>
      <scheme val="minor"/>
    </font>
    <font>
      <b/>
      <sz val="16"/>
      <color theme="1"/>
      <name val="Calibri"/>
      <family val="2"/>
      <scheme val="minor"/>
    </font>
    <font>
      <b/>
      <sz val="18"/>
      <color theme="1"/>
      <name val="Calibri"/>
      <family val="2"/>
      <scheme val="minor"/>
    </font>
    <font>
      <sz val="9"/>
      <name val="Calibri"/>
      <family val="2"/>
      <scheme val="minor"/>
    </font>
    <font>
      <b/>
      <sz val="14"/>
      <color theme="0"/>
      <name val="Calibri"/>
      <family val="2"/>
      <scheme val="minor"/>
    </font>
    <font>
      <sz val="14"/>
      <color theme="0"/>
      <name val="Calibri"/>
      <family val="2"/>
      <scheme val="minor"/>
    </font>
    <font>
      <b/>
      <i/>
      <sz val="9"/>
      <color theme="0"/>
      <name val="Calibri"/>
      <family val="2"/>
      <scheme val="minor"/>
    </font>
    <font>
      <sz val="9"/>
      <color theme="5"/>
      <name val="Calibri"/>
      <family val="2"/>
      <scheme val="minor"/>
    </font>
    <font>
      <sz val="11"/>
      <name val="Calibri"/>
      <family val="2"/>
      <scheme val="minor"/>
    </font>
    <font>
      <sz val="11"/>
      <color theme="0"/>
      <name val="Calibri"/>
      <family val="2"/>
      <scheme val="minor"/>
    </font>
    <font>
      <b/>
      <u/>
      <sz val="11"/>
      <color theme="1"/>
      <name val="Calibri"/>
      <family val="2"/>
      <scheme val="minor"/>
    </font>
    <font>
      <b/>
      <u/>
      <sz val="12"/>
      <color theme="1"/>
      <name val="Calibri"/>
      <family val="2"/>
      <scheme val="minor"/>
    </font>
    <font>
      <sz val="16"/>
      <color theme="1"/>
      <name val="Calibri"/>
      <family val="2"/>
      <scheme val="minor"/>
    </font>
    <font>
      <sz val="10"/>
      <color theme="1"/>
      <name val="Calibri"/>
      <family val="2"/>
      <scheme val="minor"/>
    </font>
    <font>
      <b/>
      <sz val="10"/>
      <color theme="5"/>
      <name val="Calibri"/>
      <family val="2"/>
      <scheme val="minor"/>
    </font>
    <font>
      <u/>
      <sz val="10"/>
      <color theme="10"/>
      <name val="Calibri"/>
      <family val="2"/>
      <scheme val="minor"/>
    </font>
    <font>
      <sz val="11"/>
      <color rgb="FF000000"/>
      <name val="Calibri"/>
      <family val="2"/>
      <scheme val="minor"/>
    </font>
    <font>
      <sz val="11"/>
      <color rgb="FFFF0000"/>
      <name val="Calibri"/>
      <family val="2"/>
      <scheme val="minor"/>
    </font>
    <font>
      <b/>
      <sz val="9"/>
      <color rgb="FFFF0000"/>
      <name val="Calibri"/>
      <family val="2"/>
      <scheme val="minor"/>
    </font>
    <font>
      <sz val="10"/>
      <color theme="1"/>
      <name val="Arial"/>
      <family val="2"/>
    </font>
    <font>
      <sz val="8"/>
      <name val="Calibri"/>
      <family val="2"/>
      <scheme val="minor"/>
    </font>
    <font>
      <sz val="9"/>
      <color theme="1"/>
      <name val="Helvetica Neue"/>
      <family val="2"/>
    </font>
    <font>
      <u/>
      <sz val="11"/>
      <color theme="1"/>
      <name val="Calibri"/>
      <family val="2"/>
      <scheme val="minor"/>
    </font>
    <font>
      <sz val="11"/>
      <color rgb="FF0F417A"/>
      <name val="Arial"/>
      <family val="2"/>
    </font>
    <font>
      <sz val="11"/>
      <color indexed="8"/>
      <name val="Calibri"/>
      <family val="2"/>
      <scheme val="minor"/>
    </font>
    <font>
      <sz val="9"/>
      <name val="Arial"/>
      <family val="2"/>
    </font>
    <font>
      <sz val="10"/>
      <name val="Arial"/>
      <family val="2"/>
    </font>
    <font>
      <sz val="10"/>
      <color rgb="FF000000"/>
      <name val="Arial"/>
      <family val="2"/>
    </font>
    <font>
      <sz val="10"/>
      <name val="Arial"/>
      <family val="2"/>
    </font>
    <font>
      <sz val="10"/>
      <color rgb="FF000000"/>
      <name val="Arial"/>
      <family val="2"/>
    </font>
    <font>
      <sz val="10"/>
      <name val="Arial"/>
      <family val="2"/>
    </font>
    <font>
      <sz val="10"/>
      <name val="Arial"/>
      <family val="2"/>
    </font>
  </fonts>
  <fills count="11">
    <fill>
      <patternFill patternType="none"/>
    </fill>
    <fill>
      <patternFill patternType="gray125"/>
    </fill>
    <fill>
      <patternFill patternType="solid">
        <fgColor theme="5"/>
        <bgColor indexed="64"/>
      </patternFill>
    </fill>
    <fill>
      <patternFill patternType="solid">
        <fgColor rgb="FF0046C8"/>
        <bgColor rgb="FF000000"/>
      </patternFill>
    </fill>
    <fill>
      <patternFill patternType="solid">
        <fgColor theme="7"/>
        <bgColor indexed="64"/>
      </patternFill>
    </fill>
    <fill>
      <patternFill patternType="solid">
        <fgColor theme="7" tint="0.79998168889431442"/>
        <bgColor indexed="64"/>
      </patternFill>
    </fill>
    <fill>
      <patternFill patternType="solid">
        <fgColor theme="9"/>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rgb="FFCCFFFF"/>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8">
    <xf numFmtId="0" fontId="0" fillId="0" borderId="0"/>
    <xf numFmtId="9" fontId="2" fillId="0" borderId="0" applyFont="0" applyFill="0" applyBorder="0" applyAlignment="0" applyProtection="0"/>
    <xf numFmtId="0" fontId="9" fillId="0" borderId="0" applyNumberFormat="0" applyFill="0" applyBorder="0" applyAlignment="0" applyProtection="0"/>
    <xf numFmtId="0" fontId="11" fillId="0" borderId="0"/>
    <xf numFmtId="167" fontId="11" fillId="0" borderId="0" applyFont="0" applyFill="0" applyBorder="0" applyAlignment="0" applyProtection="0"/>
    <xf numFmtId="9" fontId="11" fillId="0" borderId="0" applyFont="0" applyFill="0" applyBorder="0" applyAlignment="0" applyProtection="0"/>
    <xf numFmtId="0" fontId="40" fillId="0" borderId="0"/>
    <xf numFmtId="0" fontId="40" fillId="0" borderId="0"/>
    <xf numFmtId="0" fontId="48" fillId="0" borderId="0"/>
    <xf numFmtId="0" fontId="40" fillId="0" borderId="0"/>
    <xf numFmtId="0" fontId="50" fillId="0" borderId="0"/>
    <xf numFmtId="177" fontId="11" fillId="0" borderId="0" applyFill="0" applyBorder="0" applyAlignment="0" applyProtection="0"/>
    <xf numFmtId="178" fontId="11" fillId="0" borderId="0" applyFill="0" applyBorder="0" applyAlignment="0" applyProtection="0"/>
    <xf numFmtId="9" fontId="11" fillId="0" borderId="0" applyFill="0" applyBorder="0" applyAlignment="0" applyProtection="0"/>
    <xf numFmtId="0" fontId="52" fillId="0" borderId="0"/>
    <xf numFmtId="0" fontId="54" fillId="0" borderId="0"/>
    <xf numFmtId="178" fontId="54" fillId="0" borderId="0" applyFill="0" applyBorder="0" applyAlignment="0" applyProtection="0"/>
    <xf numFmtId="0" fontId="55" fillId="0" borderId="0"/>
  </cellStyleXfs>
  <cellXfs count="284">
    <xf numFmtId="0" fontId="0" fillId="0" borderId="0" xfId="0"/>
    <xf numFmtId="164" fontId="0" fillId="0" borderId="0" xfId="0" applyNumberFormat="1"/>
    <xf numFmtId="17" fontId="0" fillId="0" borderId="0" xfId="0" applyNumberFormat="1"/>
    <xf numFmtId="0" fontId="1" fillId="0" borderId="0" xfId="0" applyFont="1"/>
    <xf numFmtId="165" fontId="0" fillId="0" borderId="0" xfId="0" applyNumberFormat="1"/>
    <xf numFmtId="165" fontId="0" fillId="0" borderId="0" xfId="0" applyNumberFormat="1" applyAlignment="1">
      <alignment horizontal="center" vertical="center"/>
    </xf>
    <xf numFmtId="0" fontId="0" fillId="0" borderId="2" xfId="0" applyBorder="1"/>
    <xf numFmtId="0" fontId="0" fillId="0" borderId="3" xfId="0" applyBorder="1"/>
    <xf numFmtId="0" fontId="1" fillId="0" borderId="1" xfId="0" applyFont="1" applyBorder="1"/>
    <xf numFmtId="0" fontId="1" fillId="0" borderId="6" xfId="0" applyFont="1" applyBorder="1"/>
    <xf numFmtId="0" fontId="3" fillId="2" borderId="0" xfId="0" applyFont="1" applyFill="1" applyAlignment="1" applyProtection="1">
      <alignment horizontal="left" vertical="center"/>
      <protection hidden="1"/>
    </xf>
    <xf numFmtId="0" fontId="1" fillId="0" borderId="0" xfId="0" applyFont="1" applyAlignment="1" applyProtection="1">
      <alignment vertical="center"/>
      <protection hidden="1"/>
    </xf>
    <xf numFmtId="0" fontId="5" fillId="0" borderId="0" xfId="0" applyFont="1" applyAlignment="1" applyProtection="1">
      <alignment vertical="center"/>
      <protection hidden="1"/>
    </xf>
    <xf numFmtId="0" fontId="1" fillId="2" borderId="0" xfId="0" applyFont="1" applyFill="1" applyProtection="1">
      <protection hidden="1"/>
    </xf>
    <xf numFmtId="0" fontId="1" fillId="2" borderId="0" xfId="0" applyFont="1" applyFill="1" applyAlignment="1" applyProtection="1">
      <alignment vertical="center"/>
      <protection hidden="1"/>
    </xf>
    <xf numFmtId="0" fontId="6" fillId="3" borderId="0" xfId="0" applyFont="1" applyFill="1" applyAlignment="1" applyProtection="1">
      <alignment horizontal="left" vertical="center"/>
      <protection hidden="1"/>
    </xf>
    <xf numFmtId="0" fontId="7" fillId="3" borderId="0" xfId="0" applyFont="1" applyFill="1" applyProtection="1">
      <protection hidden="1"/>
    </xf>
    <xf numFmtId="0" fontId="7" fillId="3" borderId="0" xfId="0" applyFont="1" applyFill="1" applyAlignment="1" applyProtection="1">
      <alignment vertical="center"/>
      <protection hidden="1"/>
    </xf>
    <xf numFmtId="0" fontId="7" fillId="0" borderId="0" xfId="0" applyFont="1" applyAlignment="1" applyProtection="1">
      <alignment vertical="center"/>
      <protection hidden="1"/>
    </xf>
    <xf numFmtId="0" fontId="8" fillId="0" borderId="0" xfId="0" applyFont="1" applyAlignment="1" applyProtection="1">
      <alignment vertical="center"/>
      <protection hidden="1"/>
    </xf>
    <xf numFmtId="165" fontId="0" fillId="0" borderId="0" xfId="1" applyNumberFormat="1" applyFont="1"/>
    <xf numFmtId="0" fontId="0" fillId="0" borderId="0" xfId="0" applyAlignment="1">
      <alignment horizontal="center" vertical="center"/>
    </xf>
    <xf numFmtId="17" fontId="1" fillId="0" borderId="0" xfId="0" applyNumberFormat="1" applyFont="1" applyAlignment="1">
      <alignment vertical="center"/>
    </xf>
    <xf numFmtId="0" fontId="1" fillId="0" borderId="5" xfId="0" applyFont="1" applyBorder="1"/>
    <xf numFmtId="0" fontId="4" fillId="0" borderId="4" xfId="0" applyFont="1" applyBorder="1"/>
    <xf numFmtId="0" fontId="1" fillId="0" borderId="2" xfId="0" applyFont="1" applyBorder="1"/>
    <xf numFmtId="0" fontId="1" fillId="0" borderId="7" xfId="0" applyFont="1" applyBorder="1"/>
    <xf numFmtId="0" fontId="1" fillId="0" borderId="0" xfId="0" applyFont="1" applyAlignment="1" applyProtection="1">
      <alignment horizontal="left" vertical="center" wrapText="1"/>
      <protection hidden="1"/>
    </xf>
    <xf numFmtId="0" fontId="9" fillId="0" borderId="0" xfId="2" applyFill="1" applyAlignment="1">
      <alignment horizontal="center" vertical="center" wrapText="1"/>
    </xf>
    <xf numFmtId="166" fontId="0" fillId="0" borderId="0" xfId="0" applyNumberFormat="1"/>
    <xf numFmtId="0" fontId="0" fillId="4" borderId="0" xfId="0" applyFill="1"/>
    <xf numFmtId="166" fontId="0" fillId="4" borderId="0" xfId="0" applyNumberFormat="1" applyFill="1"/>
    <xf numFmtId="0" fontId="0" fillId="0" borderId="0" xfId="0" quotePrefix="1" applyAlignment="1">
      <alignment horizontal="center" vertical="center" wrapText="1"/>
    </xf>
    <xf numFmtId="0" fontId="0" fillId="0" borderId="0" xfId="0" quotePrefix="1"/>
    <xf numFmtId="0" fontId="0" fillId="0" borderId="0" xfId="0" quotePrefix="1" applyAlignment="1">
      <alignment horizontal="center" vertical="center"/>
    </xf>
    <xf numFmtId="166" fontId="0" fillId="5" borderId="0" xfId="0" applyNumberFormat="1" applyFill="1"/>
    <xf numFmtId="0" fontId="0" fillId="5" borderId="0" xfId="0" applyFill="1"/>
    <xf numFmtId="0" fontId="9" fillId="0" borderId="0" xfId="2"/>
    <xf numFmtId="2" fontId="0" fillId="0" borderId="0" xfId="0" applyNumberFormat="1"/>
    <xf numFmtId="0" fontId="3" fillId="2" borderId="0" xfId="0" applyFont="1" applyFill="1" applyAlignment="1" applyProtection="1">
      <alignment vertical="center"/>
      <protection hidden="1"/>
    </xf>
    <xf numFmtId="0" fontId="3" fillId="0" borderId="0" xfId="0" applyFont="1" applyAlignment="1" applyProtection="1">
      <alignment vertical="center" wrapText="1"/>
      <protection hidden="1"/>
    </xf>
    <xf numFmtId="0" fontId="4" fillId="0" borderId="5" xfId="0" applyFont="1" applyBorder="1" applyAlignment="1">
      <alignment horizontal="center" vertical="center"/>
    </xf>
    <xf numFmtId="0" fontId="11" fillId="0" borderId="0" xfId="3"/>
    <xf numFmtId="0" fontId="0" fillId="0" borderId="8" xfId="0" applyBorder="1"/>
    <xf numFmtId="0" fontId="4" fillId="0" borderId="2" xfId="0" applyFont="1" applyBorder="1" applyAlignment="1">
      <alignment horizontal="center" vertical="center"/>
    </xf>
    <xf numFmtId="0" fontId="5" fillId="0" borderId="0" xfId="0" applyFont="1"/>
    <xf numFmtId="0" fontId="3" fillId="6" borderId="0" xfId="0" applyFont="1" applyFill="1" applyAlignment="1" applyProtection="1">
      <alignment vertical="center"/>
      <protection hidden="1"/>
    </xf>
    <xf numFmtId="0" fontId="3" fillId="6" borderId="0" xfId="0" applyFont="1" applyFill="1" applyAlignment="1" applyProtection="1">
      <alignment horizontal="right" vertical="center"/>
      <protection locked="0"/>
    </xf>
    <xf numFmtId="0" fontId="13" fillId="0" borderId="0" xfId="0" applyFont="1" applyAlignment="1" applyProtection="1">
      <alignment vertical="center"/>
      <protection hidden="1"/>
    </xf>
    <xf numFmtId="0" fontId="14" fillId="0" borderId="0" xfId="0" applyFont="1" applyAlignment="1" applyProtection="1">
      <alignment vertical="center" wrapText="1"/>
      <protection hidden="1"/>
    </xf>
    <xf numFmtId="0" fontId="15" fillId="2" borderId="0" xfId="0" applyFont="1" applyFill="1" applyAlignment="1" applyProtection="1">
      <alignment vertical="center" wrapText="1"/>
      <protection hidden="1"/>
    </xf>
    <xf numFmtId="0" fontId="1" fillId="0" borderId="0" xfId="0" applyFont="1" applyAlignment="1" applyProtection="1">
      <alignment horizontal="center" vertical="center" wrapText="1"/>
      <protection hidden="1"/>
    </xf>
    <xf numFmtId="0" fontId="4" fillId="0" borderId="0" xfId="0" applyFont="1" applyAlignment="1" applyProtection="1">
      <alignment horizontal="center" vertical="center"/>
      <protection hidden="1"/>
    </xf>
    <xf numFmtId="0" fontId="1" fillId="0" borderId="0" xfId="0" applyFont="1" applyAlignment="1" applyProtection="1">
      <alignment horizontal="center" vertical="center"/>
      <protection hidden="1"/>
    </xf>
    <xf numFmtId="168" fontId="1" fillId="0" borderId="0" xfId="1" applyNumberFormat="1" applyFont="1" applyBorder="1" applyAlignment="1" applyProtection="1">
      <alignment horizontal="center" vertical="center"/>
      <protection hidden="1"/>
    </xf>
    <xf numFmtId="0" fontId="5" fillId="0" borderId="0" xfId="0" applyFont="1" applyAlignment="1" applyProtection="1">
      <alignment horizontal="center" vertical="center" wrapText="1"/>
      <protection hidden="1"/>
    </xf>
    <xf numFmtId="168" fontId="5" fillId="0" borderId="0" xfId="1" applyNumberFormat="1" applyFont="1" applyBorder="1" applyAlignment="1" applyProtection="1">
      <alignment horizontal="center" vertical="center"/>
      <protection hidden="1"/>
    </xf>
    <xf numFmtId="0" fontId="13" fillId="0" borderId="0" xfId="0" applyFont="1" applyAlignment="1" applyProtection="1">
      <alignment horizontal="center" vertical="center" wrapText="1"/>
      <protection hidden="1"/>
    </xf>
    <xf numFmtId="168" fontId="13" fillId="0" borderId="0" xfId="1" applyNumberFormat="1" applyFont="1" applyBorder="1" applyAlignment="1" applyProtection="1">
      <alignment horizontal="center" vertical="center"/>
      <protection hidden="1"/>
    </xf>
    <xf numFmtId="0" fontId="14" fillId="0" borderId="0" xfId="0" applyFont="1" applyAlignment="1" applyProtection="1">
      <alignment vertical="center"/>
      <protection hidden="1"/>
    </xf>
    <xf numFmtId="0" fontId="1" fillId="0" borderId="9" xfId="0" applyFont="1" applyBorder="1" applyAlignment="1" applyProtection="1">
      <alignment vertical="center"/>
      <protection hidden="1"/>
    </xf>
    <xf numFmtId="0" fontId="4" fillId="0" borderId="9" xfId="0" applyFont="1" applyBorder="1" applyAlignment="1" applyProtection="1">
      <alignment horizontal="center" vertical="center" wrapText="1"/>
      <protection hidden="1"/>
    </xf>
    <xf numFmtId="0" fontId="12" fillId="0" borderId="0" xfId="0" applyFont="1" applyAlignment="1" applyProtection="1">
      <alignment horizontal="left" vertical="center" wrapText="1"/>
      <protection hidden="1"/>
    </xf>
    <xf numFmtId="168" fontId="12" fillId="0" borderId="0" xfId="1" applyNumberFormat="1" applyFont="1" applyBorder="1" applyAlignment="1" applyProtection="1">
      <alignment horizontal="center" vertical="center"/>
      <protection hidden="1"/>
    </xf>
    <xf numFmtId="9" fontId="13" fillId="0" borderId="0" xfId="1" applyFont="1" applyBorder="1" applyAlignment="1" applyProtection="1">
      <alignment horizontal="center" vertical="center"/>
      <protection hidden="1"/>
    </xf>
    <xf numFmtId="0" fontId="12" fillId="0" borderId="0" xfId="0" applyFont="1" applyAlignment="1" applyProtection="1">
      <alignment horizontal="left" vertical="center"/>
      <protection hidden="1"/>
    </xf>
    <xf numFmtId="9" fontId="1" fillId="0" borderId="0" xfId="1" applyFont="1" applyBorder="1" applyAlignment="1" applyProtection="1">
      <alignment horizontal="center" vertical="center"/>
      <protection hidden="1"/>
    </xf>
    <xf numFmtId="0" fontId="12" fillId="0" borderId="8" xfId="0" applyFont="1" applyBorder="1" applyAlignment="1" applyProtection="1">
      <alignment horizontal="left" vertical="center"/>
      <protection hidden="1"/>
    </xf>
    <xf numFmtId="0" fontId="1" fillId="0" borderId="8" xfId="0" applyFont="1" applyBorder="1" applyAlignment="1" applyProtection="1">
      <alignment vertical="center"/>
      <protection hidden="1"/>
    </xf>
    <xf numFmtId="0" fontId="5" fillId="0" borderId="8" xfId="0" applyFont="1" applyBorder="1" applyAlignment="1" applyProtection="1">
      <alignment vertical="center"/>
      <protection hidden="1"/>
    </xf>
    <xf numFmtId="9" fontId="13" fillId="0" borderId="8" xfId="0" applyNumberFormat="1" applyFont="1" applyBorder="1" applyAlignment="1" applyProtection="1">
      <alignment horizontal="center" vertical="center"/>
      <protection hidden="1"/>
    </xf>
    <xf numFmtId="0" fontId="17" fillId="0" borderId="0" xfId="0" applyFont="1" applyAlignment="1" applyProtection="1">
      <alignment vertical="center"/>
      <protection hidden="1"/>
    </xf>
    <xf numFmtId="0" fontId="4" fillId="0" borderId="0" xfId="0" applyFont="1" applyAlignment="1" applyProtection="1">
      <alignment horizontal="center" vertical="center" wrapText="1"/>
      <protection hidden="1"/>
    </xf>
    <xf numFmtId="0" fontId="1" fillId="0" borderId="0" xfId="0" quotePrefix="1" applyFont="1" applyAlignment="1" applyProtection="1">
      <alignment vertical="center"/>
      <protection hidden="1"/>
    </xf>
    <xf numFmtId="0" fontId="4" fillId="0" borderId="0" xfId="0" applyFont="1" applyAlignment="1" applyProtection="1">
      <alignment vertical="center"/>
      <protection hidden="1"/>
    </xf>
    <xf numFmtId="9" fontId="13" fillId="0" borderId="0" xfId="1" applyFont="1" applyAlignment="1" applyProtection="1">
      <alignment vertical="center"/>
      <protection hidden="1"/>
    </xf>
    <xf numFmtId="9" fontId="19" fillId="0" borderId="0" xfId="1" applyFont="1" applyAlignment="1" applyProtection="1">
      <alignment horizontal="left" vertical="center" indent="5"/>
      <protection hidden="1"/>
    </xf>
    <xf numFmtId="9" fontId="19" fillId="0" borderId="0" xfId="1" applyFont="1" applyAlignment="1" applyProtection="1">
      <alignment horizontal="left" vertical="center" indent="1"/>
      <protection hidden="1"/>
    </xf>
    <xf numFmtId="9" fontId="0" fillId="0" borderId="0" xfId="0" applyNumberFormat="1"/>
    <xf numFmtId="9" fontId="0" fillId="0" borderId="0" xfId="0" quotePrefix="1" applyNumberFormat="1"/>
    <xf numFmtId="0" fontId="0" fillId="8" borderId="0" xfId="0" applyFill="1"/>
    <xf numFmtId="0" fontId="0" fillId="7" borderId="0" xfId="0" applyFill="1"/>
    <xf numFmtId="0" fontId="0" fillId="7" borderId="0" xfId="0" quotePrefix="1" applyFill="1"/>
    <xf numFmtId="0" fontId="1" fillId="0" borderId="0" xfId="0" applyFont="1" applyAlignment="1">
      <alignment vertical="center"/>
    </xf>
    <xf numFmtId="169" fontId="20" fillId="0" borderId="0" xfId="1" applyNumberFormat="1" applyFont="1"/>
    <xf numFmtId="0" fontId="1" fillId="0" borderId="0" xfId="0" quotePrefix="1" applyFont="1" applyAlignment="1">
      <alignment vertical="center"/>
    </xf>
    <xf numFmtId="0" fontId="4" fillId="0" borderId="0" xfId="0" applyFont="1"/>
    <xf numFmtId="0" fontId="17" fillId="0" borderId="0" xfId="0" applyFont="1" applyAlignment="1" applyProtection="1">
      <alignment horizontal="left" vertical="center" indent="2"/>
      <protection hidden="1"/>
    </xf>
    <xf numFmtId="14" fontId="0" fillId="0" borderId="0" xfId="0" applyNumberFormat="1" applyAlignment="1">
      <alignment vertical="center"/>
    </xf>
    <xf numFmtId="17" fontId="0" fillId="0" borderId="0" xfId="0" applyNumberFormat="1" applyAlignment="1">
      <alignment vertical="center"/>
    </xf>
    <xf numFmtId="0" fontId="0" fillId="0" borderId="0" xfId="0" applyAlignment="1">
      <alignment vertical="center"/>
    </xf>
    <xf numFmtId="169" fontId="0" fillId="0" borderId="0" xfId="1" applyNumberFormat="1" applyFont="1" applyAlignment="1">
      <alignment vertical="center"/>
    </xf>
    <xf numFmtId="9" fontId="0" fillId="0" borderId="0" xfId="1" applyFont="1" applyAlignment="1">
      <alignment vertical="center"/>
    </xf>
    <xf numFmtId="0" fontId="0" fillId="0" borderId="0" xfId="0" quotePrefix="1" applyAlignment="1">
      <alignment vertical="center"/>
    </xf>
    <xf numFmtId="166" fontId="0" fillId="0" borderId="0" xfId="0" applyNumberFormat="1" applyAlignment="1">
      <alignment vertical="center"/>
    </xf>
    <xf numFmtId="170" fontId="0" fillId="0" borderId="0" xfId="0" applyNumberFormat="1"/>
    <xf numFmtId="169" fontId="4" fillId="0" borderId="0" xfId="1" applyNumberFormat="1" applyFont="1"/>
    <xf numFmtId="171" fontId="0" fillId="0" borderId="0" xfId="0" applyNumberFormat="1"/>
    <xf numFmtId="165" fontId="0" fillId="0" borderId="0" xfId="0" applyNumberFormat="1" applyAlignment="1">
      <alignment vertical="center"/>
    </xf>
    <xf numFmtId="0" fontId="0" fillId="0" borderId="0" xfId="0" applyAlignment="1">
      <alignment readingOrder="1"/>
    </xf>
    <xf numFmtId="0" fontId="20" fillId="0" borderId="0" xfId="0" applyFont="1" applyAlignment="1">
      <alignment horizontal="center"/>
    </xf>
    <xf numFmtId="0" fontId="20" fillId="0" borderId="0" xfId="0" applyFont="1" applyAlignment="1">
      <alignment vertical="center"/>
    </xf>
    <xf numFmtId="0" fontId="23" fillId="0" borderId="0" xfId="0" applyFont="1" applyAlignment="1">
      <alignment horizontal="center" vertical="center"/>
    </xf>
    <xf numFmtId="0" fontId="24" fillId="0" borderId="0" xfId="0" applyFont="1"/>
    <xf numFmtId="170" fontId="0" fillId="0" borderId="2" xfId="0" applyNumberFormat="1" applyBorder="1"/>
    <xf numFmtId="2" fontId="0" fillId="0" borderId="8" xfId="0" applyNumberFormat="1" applyBorder="1"/>
    <xf numFmtId="170" fontId="0" fillId="0" borderId="10" xfId="0" applyNumberFormat="1" applyBorder="1"/>
    <xf numFmtId="0" fontId="0" fillId="0" borderId="11" xfId="0" applyBorder="1"/>
    <xf numFmtId="170" fontId="0" fillId="0" borderId="12" xfId="0" applyNumberFormat="1" applyBorder="1"/>
    <xf numFmtId="0" fontId="0" fillId="0" borderId="9" xfId="0" applyBorder="1"/>
    <xf numFmtId="0" fontId="0" fillId="0" borderId="13" xfId="0" applyBorder="1"/>
    <xf numFmtId="170" fontId="0" fillId="0" borderId="7" xfId="0" applyNumberFormat="1" applyBorder="1"/>
    <xf numFmtId="0" fontId="0" fillId="0" borderId="10" xfId="0" applyBorder="1"/>
    <xf numFmtId="0" fontId="0" fillId="0" borderId="12" xfId="0" applyBorder="1"/>
    <xf numFmtId="172" fontId="3" fillId="6" borderId="0" xfId="0" applyNumberFormat="1" applyFont="1" applyFill="1" applyAlignment="1" applyProtection="1">
      <alignment horizontal="right" vertical="center"/>
      <protection locked="0"/>
    </xf>
    <xf numFmtId="168" fontId="12" fillId="0" borderId="0" xfId="1" applyNumberFormat="1" applyFont="1" applyBorder="1" applyAlignment="1">
      <alignment horizontal="center" vertical="center"/>
    </xf>
    <xf numFmtId="168" fontId="27" fillId="0" borderId="0" xfId="1" applyNumberFormat="1" applyFont="1" applyBorder="1" applyAlignment="1">
      <alignment horizontal="left" vertical="center"/>
    </xf>
    <xf numFmtId="0" fontId="4" fillId="0" borderId="1" xfId="0" applyFont="1" applyBorder="1" applyAlignment="1">
      <alignment horizontal="center" vertical="center"/>
    </xf>
    <xf numFmtId="0" fontId="0" fillId="2" borderId="0" xfId="0" applyFill="1"/>
    <xf numFmtId="0" fontId="1" fillId="0" borderId="0" xfId="0" applyFont="1" applyProtection="1">
      <protection hidden="1"/>
    </xf>
    <xf numFmtId="0" fontId="5" fillId="0" borderId="0" xfId="0" applyFont="1" applyAlignment="1" applyProtection="1">
      <alignment vertical="center" wrapText="1"/>
      <protection hidden="1"/>
    </xf>
    <xf numFmtId="0" fontId="13" fillId="0" borderId="0" xfId="0" applyFont="1" applyAlignment="1" applyProtection="1">
      <alignment horizontal="left" vertical="center" wrapText="1"/>
      <protection hidden="1"/>
    </xf>
    <xf numFmtId="0" fontId="5" fillId="0" borderId="0" xfId="0" applyFont="1" applyProtection="1">
      <protection hidden="1"/>
    </xf>
    <xf numFmtId="0" fontId="5" fillId="0" borderId="0" xfId="0" applyFont="1" applyAlignment="1" applyProtection="1">
      <alignment horizontal="left" wrapText="1" indent="3"/>
      <protection hidden="1"/>
    </xf>
    <xf numFmtId="0" fontId="5" fillId="0" borderId="0" xfId="0" quotePrefix="1" applyFont="1" applyProtection="1">
      <protection hidden="1"/>
    </xf>
    <xf numFmtId="0" fontId="5" fillId="0" borderId="0" xfId="0" applyFont="1" applyAlignment="1" applyProtection="1">
      <alignment horizontal="left" vertical="center" wrapText="1"/>
      <protection hidden="1"/>
    </xf>
    <xf numFmtId="0" fontId="1" fillId="0" borderId="0" xfId="0" applyFont="1" applyAlignment="1" applyProtection="1">
      <alignment horizontal="left" vertical="center"/>
      <protection hidden="1"/>
    </xf>
    <xf numFmtId="0" fontId="0" fillId="0" borderId="0" xfId="0" applyAlignment="1">
      <alignment horizontal="left" vertical="center"/>
    </xf>
    <xf numFmtId="0" fontId="5" fillId="0" borderId="0" xfId="0" applyFont="1" applyAlignment="1" applyProtection="1">
      <alignment horizontal="left" vertical="center"/>
      <protection hidden="1"/>
    </xf>
    <xf numFmtId="0" fontId="5" fillId="0" borderId="0" xfId="0" quotePrefix="1" applyFont="1" applyAlignment="1" applyProtection="1">
      <alignment horizontal="left" vertical="center"/>
      <protection hidden="1"/>
    </xf>
    <xf numFmtId="0" fontId="0" fillId="2" borderId="0" xfId="0" applyFill="1" applyAlignment="1">
      <alignment horizontal="left" vertical="center"/>
    </xf>
    <xf numFmtId="0" fontId="31" fillId="0" borderId="0" xfId="0" quotePrefix="1" applyFont="1" applyAlignment="1" applyProtection="1">
      <alignment vertical="top" wrapText="1"/>
      <protection hidden="1"/>
    </xf>
    <xf numFmtId="0" fontId="1" fillId="9" borderId="1" xfId="0" applyFont="1" applyFill="1" applyBorder="1"/>
    <xf numFmtId="164" fontId="32" fillId="0" borderId="0" xfId="0" applyNumberFormat="1" applyFont="1"/>
    <xf numFmtId="0" fontId="32" fillId="0" borderId="0" xfId="0" applyFont="1"/>
    <xf numFmtId="0" fontId="16" fillId="6" borderId="1" xfId="0" applyFont="1" applyFill="1" applyBorder="1" applyAlignment="1">
      <alignment horizontal="center" vertical="center"/>
    </xf>
    <xf numFmtId="0" fontId="32" fillId="0" borderId="0" xfId="2" applyFont="1"/>
    <xf numFmtId="165" fontId="0" fillId="0" borderId="0" xfId="0" applyNumberFormat="1" applyAlignment="1">
      <alignment horizontal="right" vertical="center"/>
    </xf>
    <xf numFmtId="0" fontId="3" fillId="0" borderId="0" xfId="0" applyFont="1"/>
    <xf numFmtId="0" fontId="37" fillId="0" borderId="0" xfId="0" applyFont="1"/>
    <xf numFmtId="0" fontId="38" fillId="0" borderId="0" xfId="0" applyFont="1"/>
    <xf numFmtId="0" fontId="35" fillId="0" borderId="0" xfId="0" applyFont="1"/>
    <xf numFmtId="173" fontId="0" fillId="0" borderId="0" xfId="0" applyNumberFormat="1"/>
    <xf numFmtId="0" fontId="16" fillId="6" borderId="1" xfId="0" quotePrefix="1" applyFont="1" applyFill="1" applyBorder="1" applyAlignment="1">
      <alignment horizontal="center" vertical="center"/>
    </xf>
    <xf numFmtId="0" fontId="13" fillId="0" borderId="0" xfId="0" applyFont="1" applyAlignment="1" applyProtection="1">
      <alignment vertical="center" wrapText="1"/>
      <protection hidden="1"/>
    </xf>
    <xf numFmtId="9" fontId="13" fillId="0" borderId="0" xfId="1" applyFont="1" applyAlignment="1" applyProtection="1">
      <alignment horizontal="center" vertical="center"/>
      <protection hidden="1"/>
    </xf>
    <xf numFmtId="169" fontId="4" fillId="0" borderId="2" xfId="0" applyNumberFormat="1" applyFont="1" applyBorder="1" applyAlignment="1">
      <alignment horizontal="center" vertical="center"/>
    </xf>
    <xf numFmtId="169" fontId="4" fillId="0" borderId="4" xfId="0" applyNumberFormat="1" applyFont="1" applyBorder="1" applyAlignment="1">
      <alignment horizontal="center" vertical="center"/>
    </xf>
    <xf numFmtId="169" fontId="4" fillId="0" borderId="7" xfId="0" applyNumberFormat="1" applyFont="1" applyBorder="1" applyAlignment="1">
      <alignment horizontal="center" vertical="center"/>
    </xf>
    <xf numFmtId="169" fontId="4" fillId="0" borderId="1" xfId="0" applyNumberFormat="1" applyFont="1" applyBorder="1" applyAlignment="1">
      <alignment horizontal="center" vertical="center"/>
    </xf>
    <xf numFmtId="169" fontId="0" fillId="0" borderId="0" xfId="1" applyNumberFormat="1" applyFont="1"/>
    <xf numFmtId="169" fontId="4" fillId="0" borderId="1" xfId="1" applyNumberFormat="1" applyFont="1" applyBorder="1" applyAlignment="1">
      <alignment horizontal="center" vertical="center"/>
    </xf>
    <xf numFmtId="169" fontId="4" fillId="0" borderId="1" xfId="1" quotePrefix="1" applyNumberFormat="1" applyFont="1" applyBorder="1" applyAlignment="1">
      <alignment horizontal="center" vertical="center"/>
    </xf>
    <xf numFmtId="169" fontId="4" fillId="0" borderId="1" xfId="1" applyNumberFormat="1" applyFont="1" applyBorder="1" applyAlignment="1">
      <alignment horizontal="center"/>
    </xf>
    <xf numFmtId="169" fontId="1" fillId="2" borderId="0" xfId="1" applyNumberFormat="1" applyFont="1" applyFill="1" applyAlignment="1" applyProtection="1">
      <alignment vertical="center"/>
      <protection hidden="1"/>
    </xf>
    <xf numFmtId="169" fontId="1" fillId="0" borderId="0" xfId="1" applyNumberFormat="1" applyFont="1" applyAlignment="1" applyProtection="1">
      <alignment vertical="center"/>
      <protection hidden="1"/>
    </xf>
    <xf numFmtId="174" fontId="5" fillId="0" borderId="0" xfId="1" applyNumberFormat="1" applyFont="1" applyBorder="1" applyAlignment="1" applyProtection="1">
      <alignment horizontal="center" vertical="center"/>
      <protection hidden="1"/>
    </xf>
    <xf numFmtId="174" fontId="13" fillId="0" borderId="0" xfId="1" applyNumberFormat="1" applyFont="1" applyBorder="1" applyAlignment="1" applyProtection="1">
      <alignment horizontal="center" vertical="center"/>
      <protection hidden="1"/>
    </xf>
    <xf numFmtId="0" fontId="9" fillId="0" borderId="0" xfId="2" quotePrefix="1" applyFill="1" applyAlignment="1">
      <alignment horizontal="center" vertical="center"/>
    </xf>
    <xf numFmtId="49" fontId="0" fillId="0" borderId="0" xfId="0" quotePrefix="1" applyNumberFormat="1" applyAlignment="1">
      <alignment horizontal="left" vertical="center" wrapText="1"/>
    </xf>
    <xf numFmtId="175" fontId="1" fillId="0" borderId="0" xfId="0" applyNumberFormat="1" applyFont="1" applyAlignment="1" applyProtection="1">
      <alignment vertical="center"/>
      <protection hidden="1"/>
    </xf>
    <xf numFmtId="0" fontId="1" fillId="0" borderId="0" xfId="0" applyFont="1" applyAlignment="1" applyProtection="1">
      <alignment vertical="top"/>
      <protection hidden="1"/>
    </xf>
    <xf numFmtId="0" fontId="0" fillId="0" borderId="0" xfId="0" applyAlignment="1">
      <alignment vertical="top"/>
    </xf>
    <xf numFmtId="0" fontId="39" fillId="0" borderId="1" xfId="2" applyFont="1" applyBorder="1"/>
    <xf numFmtId="0" fontId="40" fillId="0" borderId="0" xfId="7"/>
    <xf numFmtId="169" fontId="4" fillId="0" borderId="1" xfId="1" applyNumberFormat="1" applyFont="1" applyBorder="1" applyAlignment="1">
      <alignment horizontal="center" vertical="center" wrapText="1"/>
    </xf>
    <xf numFmtId="0" fontId="37" fillId="0" borderId="1" xfId="0" applyFont="1" applyBorder="1"/>
    <xf numFmtId="0" fontId="40" fillId="0" borderId="0" xfId="6"/>
    <xf numFmtId="49" fontId="0" fillId="0" borderId="0" xfId="0" applyNumberFormat="1"/>
    <xf numFmtId="2" fontId="0" fillId="0" borderId="0" xfId="1" applyNumberFormat="1" applyFont="1"/>
    <xf numFmtId="166" fontId="0" fillId="0" borderId="0" xfId="1" applyNumberFormat="1" applyFont="1"/>
    <xf numFmtId="2" fontId="0" fillId="4" borderId="0" xfId="0" applyNumberFormat="1" applyFill="1"/>
    <xf numFmtId="9" fontId="0" fillId="0" borderId="0" xfId="1" applyFont="1"/>
    <xf numFmtId="169" fontId="0" fillId="0" borderId="0" xfId="0" applyNumberFormat="1"/>
    <xf numFmtId="9" fontId="0" fillId="8" borderId="0" xfId="0" applyNumberFormat="1" applyFill="1"/>
    <xf numFmtId="0" fontId="9" fillId="0" borderId="0" xfId="2" applyFill="1"/>
    <xf numFmtId="165" fontId="0" fillId="0" borderId="0" xfId="1" applyNumberFormat="1" applyFont="1" applyFill="1"/>
    <xf numFmtId="168" fontId="9" fillId="0" borderId="0" xfId="2" applyNumberFormat="1" applyBorder="1" applyAlignment="1">
      <alignment horizontal="left" vertical="center"/>
    </xf>
    <xf numFmtId="0" fontId="0" fillId="8" borderId="0" xfId="0" applyFill="1" applyAlignment="1">
      <alignment horizontal="center" vertical="center"/>
    </xf>
    <xf numFmtId="165" fontId="0" fillId="0" borderId="0" xfId="0" applyNumberFormat="1" applyAlignment="1">
      <alignment horizontal="center"/>
    </xf>
    <xf numFmtId="10" fontId="0" fillId="8" borderId="0" xfId="0" applyNumberFormat="1" applyFill="1"/>
    <xf numFmtId="169" fontId="0" fillId="8" borderId="0" xfId="0" applyNumberFormat="1" applyFill="1"/>
    <xf numFmtId="10" fontId="0" fillId="0" borderId="0" xfId="0" applyNumberFormat="1"/>
    <xf numFmtId="10" fontId="45" fillId="8" borderId="0" xfId="0" applyNumberFormat="1" applyFont="1" applyFill="1"/>
    <xf numFmtId="0" fontId="0" fillId="6" borderId="0" xfId="0" quotePrefix="1" applyFill="1"/>
    <xf numFmtId="0" fontId="46" fillId="0" borderId="0" xfId="2" applyFont="1" applyFill="1" applyAlignment="1">
      <alignment horizontal="center" vertical="center" wrapText="1"/>
    </xf>
    <xf numFmtId="0" fontId="47" fillId="0" borderId="0" xfId="0" applyFont="1"/>
    <xf numFmtId="0" fontId="0" fillId="0" borderId="0" xfId="0" applyAlignment="1">
      <alignment horizontal="center"/>
    </xf>
    <xf numFmtId="176" fontId="49" fillId="0" borderId="0" xfId="8" applyNumberFormat="1" applyFont="1"/>
    <xf numFmtId="168" fontId="27" fillId="0" borderId="0" xfId="1" applyNumberFormat="1" applyFont="1" applyFill="1" applyBorder="1" applyAlignment="1">
      <alignment horizontal="left" vertical="center"/>
    </xf>
    <xf numFmtId="0" fontId="0" fillId="0" borderId="2" xfId="0" applyBorder="1" applyAlignment="1">
      <alignment horizontal="center"/>
    </xf>
    <xf numFmtId="0" fontId="1" fillId="0" borderId="2" xfId="0" applyFont="1" applyBorder="1" applyAlignment="1">
      <alignment horizontal="center"/>
    </xf>
    <xf numFmtId="0" fontId="1" fillId="0" borderId="7" xfId="0" applyFont="1" applyBorder="1" applyAlignment="1">
      <alignment horizontal="center"/>
    </xf>
    <xf numFmtId="168" fontId="9" fillId="0" borderId="0" xfId="2" applyNumberFormat="1" applyFill="1" applyBorder="1" applyAlignment="1">
      <alignment horizontal="left" vertical="center"/>
    </xf>
    <xf numFmtId="0" fontId="9" fillId="0" borderId="1" xfId="2" applyBorder="1"/>
    <xf numFmtId="0" fontId="47" fillId="0" borderId="0" xfId="0" quotePrefix="1" applyFont="1"/>
    <xf numFmtId="0" fontId="0" fillId="0" borderId="0" xfId="0" applyAlignment="1">
      <alignment horizontal="left"/>
    </xf>
    <xf numFmtId="0" fontId="10" fillId="0" borderId="0" xfId="0" applyFont="1" applyAlignment="1">
      <alignment horizontal="center" vertical="center" wrapText="1"/>
    </xf>
    <xf numFmtId="2" fontId="0" fillId="0" borderId="0" xfId="0" applyNumberFormat="1" applyAlignment="1">
      <alignment horizontal="center" vertical="center"/>
    </xf>
    <xf numFmtId="0" fontId="0" fillId="0" borderId="0" xfId="0" applyAlignment="1">
      <alignment horizontal="center" vertical="center" wrapText="1"/>
    </xf>
    <xf numFmtId="0" fontId="0" fillId="0" borderId="0" xfId="0" applyAlignment="1">
      <alignment wrapText="1"/>
    </xf>
    <xf numFmtId="166" fontId="11" fillId="0" borderId="0" xfId="3" applyNumberFormat="1"/>
    <xf numFmtId="0" fontId="43" fillId="0" borderId="0" xfId="3" applyFont="1"/>
    <xf numFmtId="164" fontId="41" fillId="0" borderId="0" xfId="0" applyNumberFormat="1" applyFont="1"/>
    <xf numFmtId="0" fontId="41" fillId="0" borderId="0" xfId="0" applyFont="1"/>
    <xf numFmtId="2" fontId="0" fillId="0" borderId="0" xfId="1" applyNumberFormat="1" applyFont="1" applyFill="1"/>
    <xf numFmtId="169" fontId="0" fillId="0" borderId="0" xfId="1" applyNumberFormat="1" applyFont="1" applyFill="1"/>
    <xf numFmtId="0" fontId="2" fillId="0" borderId="0" xfId="6" applyFont="1"/>
    <xf numFmtId="2" fontId="2" fillId="0" borderId="0" xfId="1" applyNumberFormat="1" applyFont="1" applyFill="1"/>
    <xf numFmtId="0" fontId="5" fillId="0" borderId="0" xfId="0" applyFont="1" applyAlignment="1">
      <alignment horizontal="left"/>
    </xf>
    <xf numFmtId="0" fontId="40" fillId="0" borderId="0" xfId="9"/>
    <xf numFmtId="0" fontId="9" fillId="0" borderId="0" xfId="2" quotePrefix="1"/>
    <xf numFmtId="0" fontId="2" fillId="0" borderId="0" xfId="9" applyFont="1"/>
    <xf numFmtId="0" fontId="2" fillId="0" borderId="0" xfId="0" applyFont="1"/>
    <xf numFmtId="0" fontId="51" fillId="10" borderId="10" xfId="0" applyFont="1" applyFill="1" applyBorder="1" applyAlignment="1">
      <alignment horizontal="center"/>
    </xf>
    <xf numFmtId="0" fontId="51" fillId="10" borderId="2" xfId="0" applyFont="1" applyFill="1" applyBorder="1" applyAlignment="1">
      <alignment horizontal="center"/>
    </xf>
    <xf numFmtId="166" fontId="52" fillId="0" borderId="0" xfId="14" applyNumberFormat="1"/>
    <xf numFmtId="166" fontId="43" fillId="0" borderId="0" xfId="14" applyNumberFormat="1" applyFont="1"/>
    <xf numFmtId="179" fontId="0" fillId="0" borderId="0" xfId="0" applyNumberFormat="1" applyAlignment="1">
      <alignment horizontal="center" vertical="center"/>
    </xf>
    <xf numFmtId="179" fontId="0" fillId="0" borderId="0" xfId="0" applyNumberFormat="1"/>
    <xf numFmtId="169" fontId="21" fillId="0" borderId="1" xfId="1" applyNumberFormat="1" applyFont="1" applyBorder="1" applyAlignment="1">
      <alignment horizontal="center" vertical="center"/>
    </xf>
    <xf numFmtId="0" fontId="9" fillId="0" borderId="0" xfId="2" quotePrefix="1" applyAlignment="1">
      <alignment horizontal="center" vertical="center"/>
    </xf>
    <xf numFmtId="0" fontId="53" fillId="10" borderId="12" xfId="0" applyFont="1" applyFill="1" applyBorder="1" applyAlignment="1">
      <alignment horizontal="center"/>
    </xf>
    <xf numFmtId="0" fontId="53" fillId="10" borderId="2" xfId="0" applyFont="1" applyFill="1" applyBorder="1" applyAlignment="1">
      <alignment horizontal="center"/>
    </xf>
    <xf numFmtId="0" fontId="53" fillId="10" borderId="10" xfId="0" applyFont="1" applyFill="1" applyBorder="1" applyAlignment="1">
      <alignment horizontal="center"/>
    </xf>
    <xf numFmtId="0" fontId="54" fillId="0" borderId="0" xfId="15"/>
    <xf numFmtId="180" fontId="0" fillId="7" borderId="0" xfId="0" applyNumberFormat="1" applyFill="1"/>
    <xf numFmtId="170" fontId="0" fillId="7" borderId="0" xfId="0" applyNumberFormat="1" applyFill="1"/>
    <xf numFmtId="170" fontId="0" fillId="0" borderId="0" xfId="0" applyNumberFormat="1" applyAlignment="1">
      <alignment vertical="center"/>
    </xf>
    <xf numFmtId="166" fontId="55" fillId="8" borderId="0" xfId="17" applyNumberFormat="1" applyFill="1"/>
    <xf numFmtId="166" fontId="55" fillId="0" borderId="0" xfId="17" applyNumberFormat="1"/>
    <xf numFmtId="0" fontId="0" fillId="0" borderId="0" xfId="2" applyFont="1"/>
    <xf numFmtId="0" fontId="0" fillId="0" borderId="0" xfId="2" applyFont="1" applyFill="1"/>
    <xf numFmtId="0" fontId="0" fillId="0" borderId="0" xfId="0" applyAlignment="1">
      <alignment horizontal="center"/>
    </xf>
    <xf numFmtId="0" fontId="0" fillId="0" borderId="0" xfId="0" applyAlignment="1">
      <alignment horizontal="center" vertical="center"/>
    </xf>
    <xf numFmtId="0" fontId="22" fillId="0" borderId="0" xfId="0" applyFont="1" applyAlignment="1">
      <alignment horizontal="center"/>
    </xf>
    <xf numFmtId="14" fontId="20" fillId="0" borderId="9" xfId="0" applyNumberFormat="1" applyFont="1" applyBorder="1" applyAlignment="1">
      <alignment horizontal="center" vertical="center"/>
    </xf>
    <xf numFmtId="0" fontId="20" fillId="0" borderId="9" xfId="0" applyFont="1" applyBorder="1" applyAlignment="1">
      <alignment horizontal="center" vertical="center"/>
    </xf>
    <xf numFmtId="0" fontId="26" fillId="0" borderId="0" xfId="0" applyFont="1" applyAlignment="1">
      <alignment horizontal="center" vertical="center"/>
    </xf>
    <xf numFmtId="0" fontId="26" fillId="0" borderId="9" xfId="0" applyFont="1" applyBorder="1" applyAlignment="1">
      <alignment horizontal="center" vertical="center"/>
    </xf>
    <xf numFmtId="0" fontId="22" fillId="0" borderId="0" xfId="0" applyFont="1" applyAlignment="1">
      <alignment horizontal="center" vertical="center"/>
    </xf>
    <xf numFmtId="0" fontId="20" fillId="0" borderId="0" xfId="0" applyFont="1" applyAlignment="1">
      <alignment horizontal="center"/>
    </xf>
    <xf numFmtId="0" fontId="20" fillId="0" borderId="0" xfId="0" applyFont="1" applyAlignment="1">
      <alignment horizontal="center" vertical="center"/>
    </xf>
    <xf numFmtId="0" fontId="25" fillId="0" borderId="0" xfId="0" applyFont="1" applyAlignment="1">
      <alignment horizontal="center" vertical="center"/>
    </xf>
    <xf numFmtId="0" fontId="36" fillId="0" borderId="0" xfId="0" applyFont="1" applyAlignment="1">
      <alignment horizontal="center" vertical="center"/>
    </xf>
    <xf numFmtId="0" fontId="25" fillId="0" borderId="0" xfId="0" applyFont="1" applyAlignment="1">
      <alignment horizontal="center"/>
    </xf>
    <xf numFmtId="0" fontId="36" fillId="0" borderId="0" xfId="0" applyFont="1" applyAlignment="1">
      <alignment horizontal="center"/>
    </xf>
    <xf numFmtId="165" fontId="20" fillId="0" borderId="0" xfId="0" applyNumberFormat="1" applyFont="1" applyAlignment="1">
      <alignment horizontal="center" vertical="center"/>
    </xf>
    <xf numFmtId="0" fontId="34" fillId="0" borderId="0" xfId="0" applyFont="1"/>
    <xf numFmtId="0" fontId="25" fillId="0" borderId="0" xfId="0" applyFont="1" applyAlignment="1">
      <alignment horizontal="left" vertical="center"/>
    </xf>
    <xf numFmtId="0" fontId="36" fillId="0" borderId="0" xfId="0" applyFont="1" applyAlignment="1">
      <alignment horizontal="left" vertical="center"/>
    </xf>
    <xf numFmtId="0" fontId="0" fillId="0" borderId="0" xfId="0"/>
    <xf numFmtId="0" fontId="31" fillId="0" borderId="0" xfId="0" applyFont="1" applyAlignment="1" applyProtection="1">
      <alignment horizontal="left" wrapText="1"/>
      <protection hidden="1"/>
    </xf>
    <xf numFmtId="0" fontId="31" fillId="0" borderId="0" xfId="0" quotePrefix="1" applyFont="1" applyAlignment="1" applyProtection="1">
      <alignment horizontal="left" vertical="top" wrapText="1"/>
      <protection hidden="1"/>
    </xf>
    <xf numFmtId="0" fontId="5" fillId="0" borderId="0" xfId="0" applyFont="1" applyAlignment="1" applyProtection="1">
      <alignment horizontal="left" vertical="center" wrapText="1"/>
      <protection hidden="1"/>
    </xf>
    <xf numFmtId="0" fontId="5" fillId="0" borderId="0" xfId="0" quotePrefix="1" applyFont="1" applyAlignment="1" applyProtection="1">
      <alignment horizontal="left" wrapText="1" indent="1"/>
      <protection hidden="1"/>
    </xf>
    <xf numFmtId="0" fontId="3" fillId="6" borderId="0" xfId="0" quotePrefix="1" applyFont="1" applyFill="1" applyAlignment="1" applyProtection="1">
      <alignment horizontal="left"/>
      <protection hidden="1"/>
    </xf>
    <xf numFmtId="0" fontId="31" fillId="0" borderId="0" xfId="0" quotePrefix="1" applyFont="1" applyAlignment="1" applyProtection="1">
      <alignment horizontal="left" vertical="center" wrapText="1" indent="1"/>
      <protection hidden="1"/>
    </xf>
    <xf numFmtId="0" fontId="42" fillId="0" borderId="0" xfId="0" applyFont="1" applyAlignment="1" applyProtection="1">
      <alignment vertical="center" wrapText="1"/>
      <protection hidden="1"/>
    </xf>
    <xf numFmtId="0" fontId="42" fillId="0" borderId="0" xfId="0" applyFont="1" applyAlignment="1" applyProtection="1">
      <alignment horizontal="left" vertical="center" wrapText="1"/>
      <protection hidden="1"/>
    </xf>
    <xf numFmtId="0" fontId="3" fillId="2" borderId="0" xfId="0" applyFont="1" applyFill="1" applyAlignment="1" applyProtection="1">
      <alignment horizontal="center" vertical="center"/>
      <protection hidden="1"/>
    </xf>
    <xf numFmtId="0" fontId="31" fillId="0" borderId="0" xfId="0" quotePrefix="1" applyFont="1" applyAlignment="1" applyProtection="1">
      <alignment horizontal="left" vertical="top" wrapText="1" indent="1"/>
      <protection hidden="1"/>
    </xf>
    <xf numFmtId="0" fontId="18" fillId="0" borderId="0" xfId="0" applyFont="1" applyAlignment="1" applyProtection="1">
      <alignment horizontal="left" vertical="center" wrapText="1"/>
      <protection hidden="1"/>
    </xf>
    <xf numFmtId="0" fontId="4" fillId="0" borderId="0" xfId="0" applyFont="1" applyAlignment="1" applyProtection="1">
      <alignment horizontal="center" vertical="top"/>
      <protection hidden="1"/>
    </xf>
    <xf numFmtId="0" fontId="3" fillId="2" borderId="0" xfId="0" applyFont="1" applyFill="1" applyAlignment="1" applyProtection="1">
      <alignment vertical="center"/>
      <protection hidden="1"/>
    </xf>
    <xf numFmtId="0" fontId="3" fillId="2" borderId="0" xfId="0" applyFont="1" applyFill="1" applyAlignment="1" applyProtection="1">
      <alignment horizontal="left" vertical="center"/>
      <protection hidden="1"/>
    </xf>
    <xf numFmtId="0" fontId="3" fillId="6" borderId="0" xfId="0" applyFont="1" applyFill="1" applyAlignment="1" applyProtection="1">
      <alignment horizontal="center" vertical="center"/>
      <protection hidden="1"/>
    </xf>
    <xf numFmtId="0" fontId="4" fillId="0" borderId="0" xfId="0" applyFont="1" applyAlignment="1" applyProtection="1">
      <alignment horizontal="center" vertical="center"/>
      <protection hidden="1"/>
    </xf>
    <xf numFmtId="0" fontId="31" fillId="0" borderId="0" xfId="0" applyFont="1" applyAlignment="1" applyProtection="1">
      <alignment horizontal="left" vertical="center" wrapText="1"/>
      <protection hidden="1"/>
    </xf>
    <xf numFmtId="0" fontId="13" fillId="0" borderId="0" xfId="0" applyFont="1" applyAlignment="1" applyProtection="1">
      <alignment horizontal="left" vertical="center" wrapText="1"/>
      <protection hidden="1"/>
    </xf>
    <xf numFmtId="0" fontId="3" fillId="6" borderId="0" xfId="0" quotePrefix="1" applyFont="1" applyFill="1" applyAlignment="1" applyProtection="1">
      <alignment horizontal="left" vertical="center"/>
      <protection hidden="1"/>
    </xf>
    <xf numFmtId="0" fontId="31" fillId="0" borderId="0" xfId="0" quotePrefix="1" applyFont="1" applyAlignment="1" applyProtection="1">
      <alignment horizontal="left" vertical="center" wrapText="1"/>
      <protection hidden="1"/>
    </xf>
    <xf numFmtId="168" fontId="12" fillId="0" borderId="0" xfId="1" applyNumberFormat="1" applyFont="1" applyBorder="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21" fillId="0" borderId="0" xfId="0" applyFont="1" applyAlignment="1" applyProtection="1">
      <alignment horizontal="right" vertical="center"/>
      <protection hidden="1"/>
    </xf>
    <xf numFmtId="0" fontId="4" fillId="0" borderId="0" xfId="0" applyFont="1" applyAlignment="1" applyProtection="1">
      <alignment horizontal="center" vertical="center" wrapText="1"/>
      <protection hidden="1"/>
    </xf>
    <xf numFmtId="168" fontId="12" fillId="0" borderId="8" xfId="1" applyNumberFormat="1" applyFont="1" applyBorder="1" applyAlignment="1" applyProtection="1">
      <alignment horizontal="center" vertical="center"/>
      <protection hidden="1"/>
    </xf>
    <xf numFmtId="168" fontId="12" fillId="0" borderId="9" xfId="1" applyNumberFormat="1" applyFont="1" applyBorder="1" applyAlignment="1" applyProtection="1">
      <alignment horizontal="center" vertical="center"/>
      <protection hidden="1"/>
    </xf>
    <xf numFmtId="0" fontId="0" fillId="0" borderId="1" xfId="0" applyBorder="1" applyAlignment="1">
      <alignment horizontal="center"/>
    </xf>
    <xf numFmtId="0" fontId="3" fillId="2" borderId="0" xfId="0" applyFont="1" applyFill="1"/>
    <xf numFmtId="0" fontId="33" fillId="2" borderId="0" xfId="0" applyFont="1" applyFill="1"/>
    <xf numFmtId="0" fontId="28" fillId="2" borderId="0" xfId="0" applyFont="1" applyFill="1" applyAlignment="1">
      <alignment horizontal="center" vertical="center"/>
    </xf>
    <xf numFmtId="0" fontId="29" fillId="2" borderId="0" xfId="0" applyFont="1" applyFill="1" applyAlignment="1">
      <alignment horizontal="center" vertical="center"/>
    </xf>
    <xf numFmtId="0" fontId="28" fillId="2" borderId="0" xfId="0" applyFont="1" applyFill="1" applyAlignment="1">
      <alignment horizontal="center"/>
    </xf>
  </cellXfs>
  <cellStyles count="18">
    <cellStyle name="Lien hypertexte" xfId="2" builtinId="8"/>
    <cellStyle name="Milliers 2" xfId="4" xr:uid="{1C0DE762-0A9F-4348-AB8A-724D56AA230F}"/>
    <cellStyle name="Milliers 2 2" xfId="11" xr:uid="{47B785DA-6852-44F2-9682-391593DEADDE}"/>
    <cellStyle name="Normal" xfId="0" builtinId="0"/>
    <cellStyle name="Normal 2" xfId="3" xr:uid="{B3F018B3-ECD2-4435-9B8D-D2E36DCFB4B4}"/>
    <cellStyle name="Normal 3" xfId="6" xr:uid="{690F2089-07FA-44D1-AC81-B9E6A90A2B0D}"/>
    <cellStyle name="Normal 4" xfId="8" xr:uid="{91659D88-601B-4FBE-83A5-DBADA86FCE24}"/>
    <cellStyle name="Normal 5" xfId="10" xr:uid="{82F34994-838B-46E6-BCE6-64355235DC80}"/>
    <cellStyle name="Normal 6" xfId="14" xr:uid="{33151606-C456-43ED-A389-AEF6F9D8F42A}"/>
    <cellStyle name="Normal 7" xfId="15" xr:uid="{CB0A8376-2852-4E86-9419-F2DF8FD23E20}"/>
    <cellStyle name="Normal 8" xfId="17" xr:uid="{030C7FCD-D8B7-4972-B8F3-F2DAAE299AF5}"/>
    <cellStyle name="Normal_INDEX" xfId="7" xr:uid="{B0FD5D88-9B70-42ED-A3D9-644EB92FC1BF}"/>
    <cellStyle name="Normal_indice_EM" xfId="9" xr:uid="{118423D7-6B79-4509-A795-632D26F054E0}"/>
    <cellStyle name="Pourcentage" xfId="1" builtinId="5"/>
    <cellStyle name="Pourcentage 2" xfId="5" xr:uid="{B9E03C71-869C-4DEE-8764-E82243A8F570}"/>
    <cellStyle name="Pourcentage 2 2" xfId="12" xr:uid="{209078FE-C360-49EE-B32D-E59147CE2DFC}"/>
    <cellStyle name="Pourcentage 3" xfId="13" xr:uid="{548ECFCB-3E34-4E61-B0B5-3143B9B2F838}"/>
    <cellStyle name="Pourcentage 4" xfId="16" xr:uid="{90B4C470-D3A5-491D-8FFB-D3A267802337}"/>
  </cellStyles>
  <dxfs count="0"/>
  <tableStyles count="1" defaultTableStyle="TableStyleMedium2" defaultPivotStyle="PivotStyleLight16">
    <tableStyle name="Style de tableau 1" pivot="0" count="0" xr9:uid="{67FC9E64-B899-4FDB-86A5-071F229BD525}"/>
  </tableStyles>
  <colors>
    <mruColors>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24.xml"/><Relationship Id="rId1" Type="http://schemas.microsoft.com/office/2011/relationships/chartStyle" Target="style24.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252323873340708E-2"/>
          <c:y val="0.1969448171026873"/>
          <c:w val="0.86031640206901316"/>
          <c:h val="0.49461737603053801"/>
        </c:manualLayout>
      </c:layout>
      <c:lineChart>
        <c:grouping val="standard"/>
        <c:varyColors val="0"/>
        <c:ser>
          <c:idx val="0"/>
          <c:order val="0"/>
          <c:tx>
            <c:strRef>
              <c:f>'DONNEES CUMULS DEPUIS JANVIER'!$B$14</c:f>
              <c:strCache>
                <c:ptCount val="1"/>
                <c:pt idx="0">
                  <c:v>TP01</c:v>
                </c:pt>
              </c:strCache>
            </c:strRef>
          </c:tx>
          <c:spPr>
            <a:ln w="28575" cap="rnd">
              <a:solidFill>
                <a:schemeClr val="accent1"/>
              </a:solidFill>
              <a:round/>
            </a:ln>
            <a:effectLst/>
          </c:spPr>
          <c:marker>
            <c:symbol val="none"/>
          </c:marker>
          <c:cat>
            <c:numRef>
              <c:f>'DONNEES CUMULS DEPUIS JANVIER'!$A$16:$A$51</c:f>
              <c:numCache>
                <c:formatCode>mmm\-yyyy</c:formatCode>
                <c:ptCount val="36"/>
                <c:pt idx="0">
                  <c:v>45078</c:v>
                </c:pt>
                <c:pt idx="1">
                  <c:v>45108</c:v>
                </c:pt>
                <c:pt idx="2">
                  <c:v>45139</c:v>
                </c:pt>
                <c:pt idx="3">
                  <c:v>45170</c:v>
                </c:pt>
                <c:pt idx="4">
                  <c:v>45200</c:v>
                </c:pt>
                <c:pt idx="5">
                  <c:v>45231</c:v>
                </c:pt>
                <c:pt idx="6">
                  <c:v>45261</c:v>
                </c:pt>
                <c:pt idx="7">
                  <c:v>45292</c:v>
                </c:pt>
                <c:pt idx="8">
                  <c:v>45323</c:v>
                </c:pt>
                <c:pt idx="9">
                  <c:v>45352</c:v>
                </c:pt>
                <c:pt idx="10">
                  <c:v>45383</c:v>
                </c:pt>
                <c:pt idx="11">
                  <c:v>45413</c:v>
                </c:pt>
                <c:pt idx="12">
                  <c:v>45444</c:v>
                </c:pt>
                <c:pt idx="13">
                  <c:v>45474</c:v>
                </c:pt>
                <c:pt idx="14">
                  <c:v>45505</c:v>
                </c:pt>
                <c:pt idx="15">
                  <c:v>45536</c:v>
                </c:pt>
                <c:pt idx="16">
                  <c:v>45566</c:v>
                </c:pt>
                <c:pt idx="17">
                  <c:v>45597</c:v>
                </c:pt>
                <c:pt idx="18">
                  <c:v>45627</c:v>
                </c:pt>
                <c:pt idx="19">
                  <c:v>45658</c:v>
                </c:pt>
                <c:pt idx="20">
                  <c:v>45689</c:v>
                </c:pt>
                <c:pt idx="21">
                  <c:v>45717</c:v>
                </c:pt>
                <c:pt idx="22">
                  <c:v>45748</c:v>
                </c:pt>
                <c:pt idx="23">
                  <c:v>45778</c:v>
                </c:pt>
                <c:pt idx="24">
                  <c:v>45809</c:v>
                </c:pt>
                <c:pt idx="25">
                  <c:v>45839</c:v>
                </c:pt>
                <c:pt idx="26">
                  <c:v>45870</c:v>
                </c:pt>
                <c:pt idx="27">
                  <c:v>45901</c:v>
                </c:pt>
                <c:pt idx="28">
                  <c:v>45931</c:v>
                </c:pt>
                <c:pt idx="29">
                  <c:v>45962</c:v>
                </c:pt>
                <c:pt idx="30">
                  <c:v>45992</c:v>
                </c:pt>
                <c:pt idx="31">
                  <c:v>46023</c:v>
                </c:pt>
                <c:pt idx="32">
                  <c:v>46054</c:v>
                </c:pt>
                <c:pt idx="33">
                  <c:v>46082</c:v>
                </c:pt>
                <c:pt idx="34">
                  <c:v>46113</c:v>
                </c:pt>
                <c:pt idx="35">
                  <c:v>46143</c:v>
                </c:pt>
              </c:numCache>
            </c:numRef>
          </c:cat>
          <c:val>
            <c:numRef>
              <c:f>'DONNEES CUMULS DEPUIS JANVIER'!$B$16:$B$51</c:f>
              <c:numCache>
                <c:formatCode>General</c:formatCode>
                <c:ptCount val="36"/>
                <c:pt idx="0">
                  <c:v>128.30000000000001</c:v>
                </c:pt>
                <c:pt idx="1">
                  <c:v>128.6</c:v>
                </c:pt>
                <c:pt idx="2">
                  <c:v>129.19999999999999</c:v>
                </c:pt>
                <c:pt idx="3">
                  <c:v>130.80000000000001</c:v>
                </c:pt>
                <c:pt idx="4">
                  <c:v>130.69999999999999</c:v>
                </c:pt>
                <c:pt idx="5">
                  <c:v>130.30000000000001</c:v>
                </c:pt>
                <c:pt idx="6">
                  <c:v>129.6</c:v>
                </c:pt>
                <c:pt idx="7">
                  <c:v>129.6</c:v>
                </c:pt>
                <c:pt idx="8">
                  <c:v>129.9</c:v>
                </c:pt>
                <c:pt idx="9">
                  <c:v>130.1</c:v>
                </c:pt>
                <c:pt idx="10">
                  <c:v>130.30000000000001</c:v>
                </c:pt>
                <c:pt idx="11">
                  <c:v>130.1</c:v>
                </c:pt>
                <c:pt idx="12">
                  <c:v>129.80000000000001</c:v>
                </c:pt>
                <c:pt idx="13">
                  <c:v>129.9</c:v>
                </c:pt>
                <c:pt idx="14">
                  <c:v>130.1</c:v>
                </c:pt>
                <c:pt idx="15">
                  <c:v>129.1</c:v>
                </c:pt>
                <c:pt idx="16">
                  <c:v>128.80000000000001</c:v>
                </c:pt>
                <c:pt idx="17">
                  <c:v>130.19999999999999</c:v>
                </c:pt>
                <c:pt idx="18">
                  <c:v>130.6</c:v>
                </c:pt>
                <c:pt idx="19">
                  <c:v>131.9</c:v>
                </c:pt>
                <c:pt idx="20">
                  <c:v>132.19999999999999</c:v>
                </c:pt>
                <c:pt idx="21">
                  <c:v>131.69999999999999</c:v>
                </c:pt>
                <c:pt idx="22">
                  <c:v>131.4</c:v>
                </c:pt>
                <c:pt idx="23">
                  <c:v>130.69999999999999</c:v>
                </c:pt>
                <c:pt idx="24">
                  <c:v>130.5</c:v>
                </c:pt>
                <c:pt idx="25">
                  <c:v>131</c:v>
                </c:pt>
                <c:pt idx="26">
                  <c:v>131.4</c:v>
                </c:pt>
                <c:pt idx="27">
                  <c:v>130.69999999999999</c:v>
                </c:pt>
                <c:pt idx="28">
                  <c:v>130.5</c:v>
                </c:pt>
                <c:pt idx="29">
                  <c:v>130.80000000000001</c:v>
                </c:pt>
                <c:pt idx="30">
                  <c:v>130.30000000000001</c:v>
                </c:pt>
                <c:pt idx="31">
                  <c:v>131.4</c:v>
                </c:pt>
                <c:pt idx="32">
                  <c:v>132.19999999999999</c:v>
                </c:pt>
                <c:pt idx="33">
                  <c:v>136.30000000000001</c:v>
                </c:pt>
                <c:pt idx="34">
                  <c:v>141</c:v>
                </c:pt>
                <c:pt idx="35">
                  <c:v>140.4</c:v>
                </c:pt>
              </c:numCache>
            </c:numRef>
          </c:val>
          <c:smooth val="0"/>
          <c:extLst>
            <c:ext xmlns:c16="http://schemas.microsoft.com/office/drawing/2014/chart" uri="{C3380CC4-5D6E-409C-BE32-E72D297353CC}">
              <c16:uniqueId val="{00000000-D47C-4610-A834-208F6E956290}"/>
            </c:ext>
          </c:extLst>
        </c:ser>
        <c:ser>
          <c:idx val="1"/>
          <c:order val="1"/>
          <c:tx>
            <c:strRef>
              <c:f>'DONNEES CUMULS DEPUIS JANVIER'!$C$14</c:f>
              <c:strCache>
                <c:ptCount val="1"/>
                <c:pt idx="0">
                  <c:v>TP02</c:v>
                </c:pt>
              </c:strCache>
            </c:strRef>
          </c:tx>
          <c:spPr>
            <a:ln w="28575" cap="rnd">
              <a:solidFill>
                <a:schemeClr val="accent6"/>
              </a:solidFill>
              <a:round/>
            </a:ln>
            <a:effectLst/>
          </c:spPr>
          <c:marker>
            <c:symbol val="none"/>
          </c:marker>
          <c:dPt>
            <c:idx val="35"/>
            <c:marker>
              <c:symbol val="none"/>
            </c:marker>
            <c:bubble3D val="0"/>
            <c:extLst>
              <c:ext xmlns:c16="http://schemas.microsoft.com/office/drawing/2014/chart" uri="{C3380CC4-5D6E-409C-BE32-E72D297353CC}">
                <c16:uniqueId val="{00000000-320E-4885-A4BA-25C2BC5E7406}"/>
              </c:ext>
            </c:extLst>
          </c:dPt>
          <c:cat>
            <c:numRef>
              <c:f>'DONNEES CUMULS DEPUIS JANVIER'!$A$16:$A$51</c:f>
              <c:numCache>
                <c:formatCode>mmm\-yyyy</c:formatCode>
                <c:ptCount val="36"/>
                <c:pt idx="0">
                  <c:v>45078</c:v>
                </c:pt>
                <c:pt idx="1">
                  <c:v>45108</c:v>
                </c:pt>
                <c:pt idx="2">
                  <c:v>45139</c:v>
                </c:pt>
                <c:pt idx="3">
                  <c:v>45170</c:v>
                </c:pt>
                <c:pt idx="4">
                  <c:v>45200</c:v>
                </c:pt>
                <c:pt idx="5">
                  <c:v>45231</c:v>
                </c:pt>
                <c:pt idx="6">
                  <c:v>45261</c:v>
                </c:pt>
                <c:pt idx="7">
                  <c:v>45292</c:v>
                </c:pt>
                <c:pt idx="8">
                  <c:v>45323</c:v>
                </c:pt>
                <c:pt idx="9">
                  <c:v>45352</c:v>
                </c:pt>
                <c:pt idx="10">
                  <c:v>45383</c:v>
                </c:pt>
                <c:pt idx="11">
                  <c:v>45413</c:v>
                </c:pt>
                <c:pt idx="12">
                  <c:v>45444</c:v>
                </c:pt>
                <c:pt idx="13">
                  <c:v>45474</c:v>
                </c:pt>
                <c:pt idx="14">
                  <c:v>45505</c:v>
                </c:pt>
                <c:pt idx="15">
                  <c:v>45536</c:v>
                </c:pt>
                <c:pt idx="16">
                  <c:v>45566</c:v>
                </c:pt>
                <c:pt idx="17">
                  <c:v>45597</c:v>
                </c:pt>
                <c:pt idx="18">
                  <c:v>45627</c:v>
                </c:pt>
                <c:pt idx="19">
                  <c:v>45658</c:v>
                </c:pt>
                <c:pt idx="20">
                  <c:v>45689</c:v>
                </c:pt>
                <c:pt idx="21">
                  <c:v>45717</c:v>
                </c:pt>
                <c:pt idx="22">
                  <c:v>45748</c:v>
                </c:pt>
                <c:pt idx="23">
                  <c:v>45778</c:v>
                </c:pt>
                <c:pt idx="24">
                  <c:v>45809</c:v>
                </c:pt>
                <c:pt idx="25">
                  <c:v>45839</c:v>
                </c:pt>
                <c:pt idx="26">
                  <c:v>45870</c:v>
                </c:pt>
                <c:pt idx="27">
                  <c:v>45901</c:v>
                </c:pt>
                <c:pt idx="28">
                  <c:v>45931</c:v>
                </c:pt>
                <c:pt idx="29">
                  <c:v>45962</c:v>
                </c:pt>
                <c:pt idx="30">
                  <c:v>45992</c:v>
                </c:pt>
                <c:pt idx="31">
                  <c:v>46023</c:v>
                </c:pt>
                <c:pt idx="32">
                  <c:v>46054</c:v>
                </c:pt>
                <c:pt idx="33">
                  <c:v>46082</c:v>
                </c:pt>
                <c:pt idx="34">
                  <c:v>46113</c:v>
                </c:pt>
                <c:pt idx="35">
                  <c:v>46143</c:v>
                </c:pt>
              </c:numCache>
            </c:numRef>
          </c:cat>
          <c:val>
            <c:numRef>
              <c:f>'DONNEES CUMULS DEPUIS JANVIER'!$C$16:$C$51</c:f>
              <c:numCache>
                <c:formatCode>General</c:formatCode>
                <c:ptCount val="36"/>
                <c:pt idx="0">
                  <c:v>132.19999999999999</c:v>
                </c:pt>
                <c:pt idx="1">
                  <c:v>131.1</c:v>
                </c:pt>
                <c:pt idx="2">
                  <c:v>131.5</c:v>
                </c:pt>
                <c:pt idx="3">
                  <c:v>131.30000000000001</c:v>
                </c:pt>
                <c:pt idx="4">
                  <c:v>131.6</c:v>
                </c:pt>
                <c:pt idx="5">
                  <c:v>132.6</c:v>
                </c:pt>
                <c:pt idx="6">
                  <c:v>133.69999999999999</c:v>
                </c:pt>
                <c:pt idx="7">
                  <c:v>134</c:v>
                </c:pt>
                <c:pt idx="8">
                  <c:v>133.6</c:v>
                </c:pt>
                <c:pt idx="9">
                  <c:v>133.80000000000001</c:v>
                </c:pt>
                <c:pt idx="10">
                  <c:v>133.4</c:v>
                </c:pt>
                <c:pt idx="11">
                  <c:v>132.5</c:v>
                </c:pt>
                <c:pt idx="12">
                  <c:v>132.1</c:v>
                </c:pt>
                <c:pt idx="13">
                  <c:v>132.30000000000001</c:v>
                </c:pt>
                <c:pt idx="14">
                  <c:v>132.80000000000001</c:v>
                </c:pt>
                <c:pt idx="15">
                  <c:v>133</c:v>
                </c:pt>
                <c:pt idx="16">
                  <c:v>133.1</c:v>
                </c:pt>
                <c:pt idx="17">
                  <c:v>133.6</c:v>
                </c:pt>
                <c:pt idx="18">
                  <c:v>134.19999999999999</c:v>
                </c:pt>
                <c:pt idx="19">
                  <c:v>135.1</c:v>
                </c:pt>
                <c:pt idx="20">
                  <c:v>135</c:v>
                </c:pt>
                <c:pt idx="21">
                  <c:v>135</c:v>
                </c:pt>
                <c:pt idx="22">
                  <c:v>135.5</c:v>
                </c:pt>
                <c:pt idx="23">
                  <c:v>135.30000000000001</c:v>
                </c:pt>
                <c:pt idx="24">
                  <c:v>135</c:v>
                </c:pt>
                <c:pt idx="25">
                  <c:v>135.19999999999999</c:v>
                </c:pt>
                <c:pt idx="26">
                  <c:v>136.1</c:v>
                </c:pt>
                <c:pt idx="27">
                  <c:v>135.69999999999999</c:v>
                </c:pt>
                <c:pt idx="28">
                  <c:v>135.69999999999999</c:v>
                </c:pt>
                <c:pt idx="29">
                  <c:v>135.80000000000001</c:v>
                </c:pt>
                <c:pt idx="30">
                  <c:v>136.1</c:v>
                </c:pt>
                <c:pt idx="31">
                  <c:v>137.5</c:v>
                </c:pt>
                <c:pt idx="32">
                  <c:v>137.5</c:v>
                </c:pt>
                <c:pt idx="33">
                  <c:v>138.9</c:v>
                </c:pt>
                <c:pt idx="34">
                  <c:v>140.69999999999999</c:v>
                </c:pt>
                <c:pt idx="35">
                  <c:v>141</c:v>
                </c:pt>
              </c:numCache>
            </c:numRef>
          </c:val>
          <c:smooth val="0"/>
          <c:extLst>
            <c:ext xmlns:c16="http://schemas.microsoft.com/office/drawing/2014/chart" uri="{C3380CC4-5D6E-409C-BE32-E72D297353CC}">
              <c16:uniqueId val="{00000001-D47C-4610-A834-208F6E956290}"/>
            </c:ext>
          </c:extLst>
        </c:ser>
        <c:dLbls>
          <c:showLegendKey val="0"/>
          <c:showVal val="0"/>
          <c:showCatName val="0"/>
          <c:showSerName val="0"/>
          <c:showPercent val="0"/>
          <c:showBubbleSize val="0"/>
        </c:dLbls>
        <c:smooth val="0"/>
        <c:axId val="412954848"/>
        <c:axId val="412955176"/>
      </c:lineChart>
      <c:dateAx>
        <c:axId val="412954848"/>
        <c:scaling>
          <c:orientation val="minMax"/>
        </c:scaling>
        <c:delete val="0"/>
        <c:axPos val="b"/>
        <c:numFmt formatCode="mmm\-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12955176"/>
        <c:crosses val="autoZero"/>
        <c:auto val="1"/>
        <c:lblOffset val="100"/>
        <c:baseTimeUnit val="months"/>
        <c:majorUnit val="1"/>
        <c:majorTimeUnit val="months"/>
      </c:dateAx>
      <c:valAx>
        <c:axId val="412955176"/>
        <c:scaling>
          <c:orientation val="minMax"/>
          <c:min val="9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12954848"/>
        <c:crosses val="autoZero"/>
        <c:crossBetween val="midCat"/>
      </c:valAx>
      <c:spPr>
        <a:noFill/>
        <a:ln>
          <a:noFill/>
        </a:ln>
        <a:effectLst/>
      </c:spPr>
    </c:plotArea>
    <c:legend>
      <c:legendPos val="t"/>
      <c:overlay val="0"/>
      <c:spPr>
        <a:noFill/>
        <a:ln>
          <a:noFill/>
        </a:ln>
        <a:effectLst/>
      </c:spPr>
      <c:txPr>
        <a:bodyPr rot="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legend>
    <c:plotVisOnly val="1"/>
    <c:dispBlanksAs val="span"/>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800" b="1">
          <a:solidFill>
            <a:sysClr val="windowText" lastClr="000000"/>
          </a:solidFill>
        </a:defRPr>
      </a:pPr>
      <a:endParaRPr lang="fr-FR"/>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3144939196852446"/>
          <c:y val="6.8321909401612563E-2"/>
          <c:w val="0.58967847769028869"/>
          <c:h val="0.86815272191695458"/>
        </c:manualLayout>
      </c:layout>
      <c:barChart>
        <c:barDir val="bar"/>
        <c:grouping val="clustered"/>
        <c:varyColors val="0"/>
        <c:ser>
          <c:idx val="0"/>
          <c:order val="0"/>
          <c:spPr>
            <a:solidFill>
              <a:schemeClr val="accent6"/>
            </a:solidFill>
            <a:ln w="19050">
              <a:solidFill>
                <a:schemeClr val="lt1"/>
              </a:solidFill>
            </a:ln>
            <a:effectLst/>
          </c:spPr>
          <c:invertIfNegative val="0"/>
          <c:dLbls>
            <c:numFmt formatCode="0%" sourceLinked="0"/>
            <c:spPr>
              <a:noFill/>
              <a:ln>
                <a:noFill/>
              </a:ln>
              <a:effectLst/>
            </c:spPr>
            <c:txPr>
              <a:bodyPr rot="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'DONNEES 3-6 MOIS'!$B$5:$B$11</c:f>
              <c:strCache>
                <c:ptCount val="7"/>
                <c:pt idx="0">
                  <c:v>Matériel</c:v>
                </c:pt>
                <c:pt idx="1">
                  <c:v>Travail</c:v>
                </c:pt>
                <c:pt idx="2">
                  <c:v>Energie</c:v>
                </c:pt>
                <c:pt idx="3">
                  <c:v>Matériaux</c:v>
                </c:pt>
                <c:pt idx="4">
                  <c:v>Frais divers</c:v>
                </c:pt>
                <c:pt idx="5">
                  <c:v>Transport</c:v>
                </c:pt>
                <c:pt idx="6">
                  <c:v>Déchets</c:v>
                </c:pt>
              </c:strCache>
            </c:strRef>
          </c:cat>
          <c:val>
            <c:numRef>
              <c:f>'DONNEES 3-6 MOIS'!$C$5:$C$11</c:f>
              <c:numCache>
                <c:formatCode>General</c:formatCode>
                <c:ptCount val="7"/>
                <c:pt idx="0">
                  <c:v>0.21</c:v>
                </c:pt>
                <c:pt idx="1">
                  <c:v>0.5</c:v>
                </c:pt>
                <c:pt idx="2">
                  <c:v>0.02</c:v>
                </c:pt>
                <c:pt idx="3">
                  <c:v>0.24</c:v>
                </c:pt>
                <c:pt idx="4">
                  <c:v>0.01</c:v>
                </c:pt>
                <c:pt idx="5">
                  <c:v>0.01</c:v>
                </c:pt>
                <c:pt idx="6">
                  <c:v>0.01</c:v>
                </c:pt>
              </c:numCache>
            </c:numRef>
          </c:val>
          <c:extLst>
            <c:ext xmlns:c16="http://schemas.microsoft.com/office/drawing/2014/chart" uri="{C3380CC4-5D6E-409C-BE32-E72D297353CC}">
              <c16:uniqueId val="{00000000-78C1-4E67-A0FC-934C0A0EE100}"/>
            </c:ext>
          </c:extLst>
        </c:ser>
        <c:dLbls>
          <c:showLegendKey val="0"/>
          <c:showVal val="0"/>
          <c:showCatName val="0"/>
          <c:showSerName val="0"/>
          <c:showPercent val="0"/>
          <c:showBubbleSize val="0"/>
        </c:dLbls>
        <c:gapWidth val="50"/>
        <c:axId val="707804624"/>
        <c:axId val="707809216"/>
      </c:barChart>
      <c:valAx>
        <c:axId val="707809216"/>
        <c:scaling>
          <c:orientation val="minMax"/>
        </c:scaling>
        <c:delete val="1"/>
        <c:axPos val="t"/>
        <c:numFmt formatCode="General" sourceLinked="1"/>
        <c:majorTickMark val="out"/>
        <c:minorTickMark val="none"/>
        <c:tickLblPos val="nextTo"/>
        <c:crossAx val="707804624"/>
        <c:crosses val="autoZero"/>
        <c:crossBetween val="between"/>
      </c:valAx>
      <c:catAx>
        <c:axId val="707804624"/>
        <c:scaling>
          <c:orientation val="maxMin"/>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707809216"/>
        <c:crosses val="autoZero"/>
        <c:auto val="1"/>
        <c:lblAlgn val="ctr"/>
        <c:lblOffset val="100"/>
        <c:noMultiLvlLbl val="0"/>
      </c:cat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800" b="1">
          <a:solidFill>
            <a:sysClr val="windowText" lastClr="000000"/>
          </a:solidFill>
        </a:defRPr>
      </a:pPr>
      <a:endParaRPr lang="fr-FR"/>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ysClr val="windowText" lastClr="000000"/>
                </a:solidFill>
                <a:latin typeface="+mn-lt"/>
                <a:ea typeface="+mn-ea"/>
                <a:cs typeface="+mn-cs"/>
              </a:defRPr>
            </a:pPr>
            <a:r>
              <a:rPr lang="fr-FR" sz="1000"/>
              <a:t>Matériel</a:t>
            </a:r>
          </a:p>
        </c:rich>
      </c:tx>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mn-lt"/>
              <a:ea typeface="+mn-ea"/>
              <a:cs typeface="+mn-cs"/>
            </a:defRPr>
          </a:pPr>
          <a:endParaRPr lang="fr-FR"/>
        </a:p>
      </c:txPr>
    </c:title>
    <c:autoTitleDeleted val="0"/>
    <c:plotArea>
      <c:layout/>
      <c:lineChart>
        <c:grouping val="standard"/>
        <c:varyColors val="0"/>
        <c:ser>
          <c:idx val="1"/>
          <c:order val="0"/>
          <c:tx>
            <c:strRef>
              <c:f>'DONNEES 3-6 MOIS'!$D$14</c:f>
              <c:strCache>
                <c:ptCount val="1"/>
                <c:pt idx="0">
                  <c:v>Matériel</c:v>
                </c:pt>
              </c:strCache>
            </c:strRef>
          </c:tx>
          <c:spPr>
            <a:ln w="28575" cap="rnd">
              <a:solidFill>
                <a:schemeClr val="accent2"/>
              </a:solidFill>
              <a:round/>
            </a:ln>
            <a:effectLst/>
          </c:spPr>
          <c:marker>
            <c:symbol val="none"/>
          </c:marker>
          <c:cat>
            <c:numRef>
              <c:f>'DONNEES 3-6 MOIS'!$A$16:$A$27</c:f>
              <c:numCache>
                <c:formatCode>mmm\-yyyy</c:formatCode>
                <c:ptCount val="12"/>
                <c:pt idx="0">
                  <c:v>45809</c:v>
                </c:pt>
                <c:pt idx="1">
                  <c:v>45839</c:v>
                </c:pt>
                <c:pt idx="2">
                  <c:v>45870</c:v>
                </c:pt>
                <c:pt idx="3">
                  <c:v>45901</c:v>
                </c:pt>
                <c:pt idx="4">
                  <c:v>45931</c:v>
                </c:pt>
                <c:pt idx="5">
                  <c:v>45962</c:v>
                </c:pt>
                <c:pt idx="6">
                  <c:v>45992</c:v>
                </c:pt>
                <c:pt idx="7">
                  <c:v>46023</c:v>
                </c:pt>
                <c:pt idx="8">
                  <c:v>46054</c:v>
                </c:pt>
                <c:pt idx="9">
                  <c:v>46082</c:v>
                </c:pt>
                <c:pt idx="10">
                  <c:v>46113</c:v>
                </c:pt>
                <c:pt idx="11">
                  <c:v>46143</c:v>
                </c:pt>
              </c:numCache>
            </c:numRef>
          </c:cat>
          <c:val>
            <c:numRef>
              <c:f>'DONNEES 3-6 MOIS'!$D$16:$D$27</c:f>
              <c:numCache>
                <c:formatCode>General</c:formatCode>
                <c:ptCount val="12"/>
                <c:pt idx="0">
                  <c:v>126</c:v>
                </c:pt>
                <c:pt idx="1">
                  <c:v>125.5</c:v>
                </c:pt>
                <c:pt idx="2">
                  <c:v>128.4</c:v>
                </c:pt>
                <c:pt idx="3">
                  <c:v>126.8</c:v>
                </c:pt>
                <c:pt idx="4">
                  <c:v>126.7</c:v>
                </c:pt>
                <c:pt idx="5">
                  <c:v>126.2</c:v>
                </c:pt>
                <c:pt idx="6">
                  <c:v>125.5</c:v>
                </c:pt>
                <c:pt idx="7">
                  <c:v>127.6</c:v>
                </c:pt>
                <c:pt idx="8">
                  <c:v>125.9</c:v>
                </c:pt>
                <c:pt idx="9">
                  <c:v>126.5</c:v>
                </c:pt>
                <c:pt idx="10">
                  <c:v>128.1</c:v>
                </c:pt>
                <c:pt idx="11">
                  <c:v>127.8</c:v>
                </c:pt>
              </c:numCache>
            </c:numRef>
          </c:val>
          <c:smooth val="0"/>
          <c:extLst>
            <c:ext xmlns:c16="http://schemas.microsoft.com/office/drawing/2014/chart" uri="{C3380CC4-5D6E-409C-BE32-E72D297353CC}">
              <c16:uniqueId val="{00000000-5460-41F4-A538-2ECC969A8A34}"/>
            </c:ext>
          </c:extLst>
        </c:ser>
        <c:dLbls>
          <c:showLegendKey val="0"/>
          <c:showVal val="0"/>
          <c:showCatName val="0"/>
          <c:showSerName val="0"/>
          <c:showPercent val="0"/>
          <c:showBubbleSize val="0"/>
        </c:dLbls>
        <c:smooth val="0"/>
        <c:axId val="400790288"/>
        <c:axId val="400794880"/>
      </c:lineChart>
      <c:dateAx>
        <c:axId val="400790288"/>
        <c:scaling>
          <c:orientation val="minMax"/>
        </c:scaling>
        <c:delete val="0"/>
        <c:axPos val="b"/>
        <c:numFmt formatCode="mmm\-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4880"/>
        <c:crosses val="autoZero"/>
        <c:auto val="1"/>
        <c:lblOffset val="100"/>
        <c:baseTimeUnit val="months"/>
        <c:majorUnit val="1"/>
        <c:majorTimeUnit val="months"/>
      </c:dateAx>
      <c:valAx>
        <c:axId val="400794880"/>
        <c:scaling>
          <c:orientation val="minMax"/>
          <c:min val="100"/>
        </c:scaling>
        <c:delete val="0"/>
        <c:axPos val="l"/>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0288"/>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b="1">
          <a:solidFill>
            <a:sysClr val="windowText" lastClr="000000"/>
          </a:solidFill>
        </a:defRPr>
      </a:pPr>
      <a:endParaRPr lang="fr-FR"/>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ysClr val="windowText" lastClr="000000"/>
                </a:solidFill>
                <a:latin typeface="+mn-lt"/>
                <a:ea typeface="+mn-ea"/>
                <a:cs typeface="+mn-cs"/>
              </a:defRPr>
            </a:pPr>
            <a:r>
              <a:rPr lang="fr-FR" sz="1000"/>
              <a:t>Travail</a:t>
            </a:r>
          </a:p>
        </c:rich>
      </c:tx>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mn-lt"/>
              <a:ea typeface="+mn-ea"/>
              <a:cs typeface="+mn-cs"/>
            </a:defRPr>
          </a:pPr>
          <a:endParaRPr lang="fr-FR"/>
        </a:p>
      </c:txPr>
    </c:title>
    <c:autoTitleDeleted val="0"/>
    <c:plotArea>
      <c:layout/>
      <c:lineChart>
        <c:grouping val="standard"/>
        <c:varyColors val="0"/>
        <c:ser>
          <c:idx val="1"/>
          <c:order val="0"/>
          <c:tx>
            <c:strRef>
              <c:f>'DONNEES 3-6 MOIS'!$E$14</c:f>
              <c:strCache>
                <c:ptCount val="1"/>
                <c:pt idx="0">
                  <c:v>Travail</c:v>
                </c:pt>
              </c:strCache>
            </c:strRef>
          </c:tx>
          <c:spPr>
            <a:ln w="28575" cap="rnd">
              <a:solidFill>
                <a:schemeClr val="accent2"/>
              </a:solidFill>
              <a:round/>
            </a:ln>
            <a:effectLst/>
          </c:spPr>
          <c:marker>
            <c:symbol val="none"/>
          </c:marker>
          <c:cat>
            <c:numRef>
              <c:f>'DONNEES 3-6 MOIS'!$A$16:$A$27</c:f>
              <c:numCache>
                <c:formatCode>mmm\-yyyy</c:formatCode>
                <c:ptCount val="12"/>
                <c:pt idx="0">
                  <c:v>45809</c:v>
                </c:pt>
                <c:pt idx="1">
                  <c:v>45839</c:v>
                </c:pt>
                <c:pt idx="2">
                  <c:v>45870</c:v>
                </c:pt>
                <c:pt idx="3">
                  <c:v>45901</c:v>
                </c:pt>
                <c:pt idx="4">
                  <c:v>45931</c:v>
                </c:pt>
                <c:pt idx="5">
                  <c:v>45962</c:v>
                </c:pt>
                <c:pt idx="6">
                  <c:v>45992</c:v>
                </c:pt>
                <c:pt idx="7">
                  <c:v>46023</c:v>
                </c:pt>
                <c:pt idx="8">
                  <c:v>46054</c:v>
                </c:pt>
                <c:pt idx="9">
                  <c:v>46082</c:v>
                </c:pt>
                <c:pt idx="10">
                  <c:v>46113</c:v>
                </c:pt>
                <c:pt idx="11">
                  <c:v>46143</c:v>
                </c:pt>
              </c:numCache>
            </c:numRef>
          </c:cat>
          <c:val>
            <c:numRef>
              <c:f>'DONNEES 3-6 MOIS'!$E$16:$E$27</c:f>
              <c:numCache>
                <c:formatCode>General</c:formatCode>
                <c:ptCount val="12"/>
                <c:pt idx="0">
                  <c:v>138.69999999999999</c:v>
                </c:pt>
                <c:pt idx="1">
                  <c:v>139</c:v>
                </c:pt>
                <c:pt idx="2">
                  <c:v>139.30000000000001</c:v>
                </c:pt>
                <c:pt idx="3">
                  <c:v>139.69999999999999</c:v>
                </c:pt>
                <c:pt idx="4">
                  <c:v>140.4</c:v>
                </c:pt>
                <c:pt idx="5">
                  <c:v>141.1</c:v>
                </c:pt>
                <c:pt idx="6">
                  <c:v>141.80000000000001</c:v>
                </c:pt>
                <c:pt idx="7">
                  <c:v>142.19999999999999</c:v>
                </c:pt>
                <c:pt idx="8">
                  <c:v>142.6</c:v>
                </c:pt>
                <c:pt idx="9">
                  <c:v>143</c:v>
                </c:pt>
                <c:pt idx="10">
                  <c:v>143</c:v>
                </c:pt>
                <c:pt idx="11">
                  <c:v>143</c:v>
                </c:pt>
              </c:numCache>
            </c:numRef>
          </c:val>
          <c:smooth val="0"/>
          <c:extLst>
            <c:ext xmlns:c16="http://schemas.microsoft.com/office/drawing/2014/chart" uri="{C3380CC4-5D6E-409C-BE32-E72D297353CC}">
              <c16:uniqueId val="{00000000-7410-42A0-A119-D5269FF7FA7E}"/>
            </c:ext>
          </c:extLst>
        </c:ser>
        <c:dLbls>
          <c:showLegendKey val="0"/>
          <c:showVal val="0"/>
          <c:showCatName val="0"/>
          <c:showSerName val="0"/>
          <c:showPercent val="0"/>
          <c:showBubbleSize val="0"/>
        </c:dLbls>
        <c:smooth val="0"/>
        <c:axId val="400790288"/>
        <c:axId val="400794880"/>
      </c:lineChart>
      <c:dateAx>
        <c:axId val="400790288"/>
        <c:scaling>
          <c:orientation val="minMax"/>
        </c:scaling>
        <c:delete val="0"/>
        <c:axPos val="b"/>
        <c:numFmt formatCode="mmm\-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4880"/>
        <c:crosses val="autoZero"/>
        <c:auto val="1"/>
        <c:lblOffset val="100"/>
        <c:baseTimeUnit val="months"/>
        <c:majorUnit val="1"/>
        <c:majorTimeUnit val="months"/>
      </c:dateAx>
      <c:valAx>
        <c:axId val="400794880"/>
        <c:scaling>
          <c:orientation val="minMax"/>
        </c:scaling>
        <c:delete val="0"/>
        <c:axPos val="l"/>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0288"/>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b="1">
          <a:solidFill>
            <a:sysClr val="windowText" lastClr="000000"/>
          </a:solidFill>
        </a:defRPr>
      </a:pPr>
      <a:endParaRPr lang="fr-FR"/>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900" b="1" i="0" u="none" strike="noStrike" kern="1200" spc="0" baseline="0">
                <a:solidFill>
                  <a:sysClr val="windowText" lastClr="000000"/>
                </a:solidFill>
                <a:latin typeface="+mn-lt"/>
                <a:ea typeface="+mn-ea"/>
                <a:cs typeface="+mn-cs"/>
              </a:defRPr>
            </a:pPr>
            <a:r>
              <a:rPr lang="fr-FR" sz="900" b="1" i="0" u="none" strike="noStrike" kern="1200" spc="0" baseline="0">
                <a:solidFill>
                  <a:sysClr val="windowText" lastClr="000000"/>
                </a:solidFill>
              </a:rPr>
              <a:t>GNR pour les Travaux Publics</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900" b="1" i="0" u="none" strike="noStrike" kern="1200" spc="0" baseline="0">
              <a:solidFill>
                <a:sysClr val="windowText" lastClr="000000"/>
              </a:solidFill>
              <a:latin typeface="+mn-lt"/>
              <a:ea typeface="+mn-ea"/>
              <a:cs typeface="+mn-cs"/>
            </a:defRPr>
          </a:pPr>
          <a:endParaRPr lang="fr-FR"/>
        </a:p>
      </c:txPr>
    </c:title>
    <c:autoTitleDeleted val="0"/>
    <c:plotArea>
      <c:layout/>
      <c:lineChart>
        <c:grouping val="standard"/>
        <c:varyColors val="0"/>
        <c:ser>
          <c:idx val="1"/>
          <c:order val="0"/>
          <c:tx>
            <c:strRef>
              <c:f>'DONNEES 3-6 MOIS'!$F$14</c:f>
              <c:strCache>
                <c:ptCount val="1"/>
                <c:pt idx="0">
                  <c:v>GNR pour les Travaux Publics</c:v>
                </c:pt>
              </c:strCache>
            </c:strRef>
          </c:tx>
          <c:spPr>
            <a:ln w="28575" cap="rnd">
              <a:solidFill>
                <a:schemeClr val="accent2"/>
              </a:solidFill>
              <a:round/>
            </a:ln>
            <a:effectLst/>
          </c:spPr>
          <c:marker>
            <c:symbol val="none"/>
          </c:marker>
          <c:cat>
            <c:numRef>
              <c:f>'DONNEES 3-6 MOIS'!$A$16:$A$27</c:f>
              <c:numCache>
                <c:formatCode>mmm\-yyyy</c:formatCode>
                <c:ptCount val="12"/>
                <c:pt idx="0">
                  <c:v>45809</c:v>
                </c:pt>
                <c:pt idx="1">
                  <c:v>45839</c:v>
                </c:pt>
                <c:pt idx="2">
                  <c:v>45870</c:v>
                </c:pt>
                <c:pt idx="3">
                  <c:v>45901</c:v>
                </c:pt>
                <c:pt idx="4">
                  <c:v>45931</c:v>
                </c:pt>
                <c:pt idx="5">
                  <c:v>45962</c:v>
                </c:pt>
                <c:pt idx="6">
                  <c:v>45992</c:v>
                </c:pt>
                <c:pt idx="7">
                  <c:v>46023</c:v>
                </c:pt>
                <c:pt idx="8">
                  <c:v>46054</c:v>
                </c:pt>
                <c:pt idx="9">
                  <c:v>46082</c:v>
                </c:pt>
                <c:pt idx="10">
                  <c:v>46113</c:v>
                </c:pt>
                <c:pt idx="11">
                  <c:v>46143</c:v>
                </c:pt>
              </c:numCache>
            </c:numRef>
          </c:cat>
          <c:val>
            <c:numRef>
              <c:f>'DONNEES 3-6 MOIS'!$F$16:$F$27</c:f>
              <c:numCache>
                <c:formatCode>General</c:formatCode>
                <c:ptCount val="12"/>
                <c:pt idx="0">
                  <c:v>143.9</c:v>
                </c:pt>
                <c:pt idx="1">
                  <c:v>147.30000000000001</c:v>
                </c:pt>
                <c:pt idx="2">
                  <c:v>143.30000000000001</c:v>
                </c:pt>
                <c:pt idx="3">
                  <c:v>145.1</c:v>
                </c:pt>
                <c:pt idx="4">
                  <c:v>143.4</c:v>
                </c:pt>
                <c:pt idx="5">
                  <c:v>149.6</c:v>
                </c:pt>
                <c:pt idx="6">
                  <c:v>136.69999999999999</c:v>
                </c:pt>
                <c:pt idx="7">
                  <c:v>159</c:v>
                </c:pt>
                <c:pt idx="8">
                  <c:v>162.4</c:v>
                </c:pt>
                <c:pt idx="9">
                  <c:v>224.3</c:v>
                </c:pt>
                <c:pt idx="10">
                  <c:v>230.3</c:v>
                </c:pt>
                <c:pt idx="11">
                  <c:v>212.8</c:v>
                </c:pt>
              </c:numCache>
            </c:numRef>
          </c:val>
          <c:smooth val="0"/>
          <c:extLst>
            <c:ext xmlns:c16="http://schemas.microsoft.com/office/drawing/2014/chart" uri="{C3380CC4-5D6E-409C-BE32-E72D297353CC}">
              <c16:uniqueId val="{00000000-3EA4-4004-B469-E610C090E292}"/>
            </c:ext>
          </c:extLst>
        </c:ser>
        <c:dLbls>
          <c:showLegendKey val="0"/>
          <c:showVal val="0"/>
          <c:showCatName val="0"/>
          <c:showSerName val="0"/>
          <c:showPercent val="0"/>
          <c:showBubbleSize val="0"/>
        </c:dLbls>
        <c:smooth val="0"/>
        <c:axId val="400790288"/>
        <c:axId val="400794880"/>
      </c:lineChart>
      <c:dateAx>
        <c:axId val="400790288"/>
        <c:scaling>
          <c:orientation val="minMax"/>
        </c:scaling>
        <c:delete val="0"/>
        <c:axPos val="b"/>
        <c:numFmt formatCode="mmm\-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4880"/>
        <c:crosses val="autoZero"/>
        <c:auto val="1"/>
        <c:lblOffset val="100"/>
        <c:baseTimeUnit val="months"/>
        <c:majorUnit val="1"/>
        <c:majorTimeUnit val="months"/>
      </c:dateAx>
      <c:valAx>
        <c:axId val="400794880"/>
        <c:scaling>
          <c:orientation val="minMax"/>
          <c:min val="60"/>
        </c:scaling>
        <c:delete val="0"/>
        <c:axPos val="l"/>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0288"/>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b="1">
          <a:solidFill>
            <a:sysClr val="windowText" lastClr="000000"/>
          </a:solidFill>
        </a:defRPr>
      </a:pPr>
      <a:endParaRPr lang="fr-FR"/>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405306697922503E-2"/>
          <c:y val="5.3466986766920778E-2"/>
          <c:w val="0.90507737518897891"/>
          <c:h val="0.55819171041119864"/>
        </c:manualLayout>
      </c:layout>
      <c:barChart>
        <c:barDir val="col"/>
        <c:grouping val="clustered"/>
        <c:varyColors val="0"/>
        <c:ser>
          <c:idx val="0"/>
          <c:order val="0"/>
          <c:tx>
            <c:strRef>
              <c:f>'RESULTATS 3-6 MOIS GLISSANTS'!$B$21:$B$26</c:f>
              <c:strCache>
                <c:ptCount val="6"/>
                <c:pt idx="0">
                  <c:v>+0,9%</c:v>
                </c:pt>
                <c:pt idx="1">
                  <c:v>+0,6%</c:v>
                </c:pt>
                <c:pt idx="2">
                  <c:v>+45,7%</c:v>
                </c:pt>
                <c:pt idx="3">
                  <c:v>+31,0%</c:v>
                </c:pt>
                <c:pt idx="4">
                  <c:v>+1,2%</c:v>
                </c:pt>
                <c:pt idx="5">
                  <c:v>+1,9%</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ysClr val="windowText" lastClr="000000"/>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'RESULTATS 3-6 MOIS GLISSANTS'!$A$21:$A$26</c:f>
              <c:strCache>
                <c:ptCount val="6"/>
                <c:pt idx="0">
                  <c:v>Matériel</c:v>
                </c:pt>
                <c:pt idx="1">
                  <c:v>Travail</c:v>
                </c:pt>
                <c:pt idx="2">
                  <c:v>GNR pour les Travaux Publics</c:v>
                </c:pt>
                <c:pt idx="3">
                  <c:v>Gazole</c:v>
                </c:pt>
                <c:pt idx="4">
                  <c:v>Frais divers</c:v>
                </c:pt>
                <c:pt idx="5">
                  <c:v>Transport</c:v>
                </c:pt>
              </c:strCache>
            </c:strRef>
          </c:cat>
          <c:val>
            <c:numRef>
              <c:f>'RESULTATS 3-6 MOIS GLISSANTS'!$B$21:$B$26</c:f>
              <c:numCache>
                <c:formatCode>\+0.0%;\-0.0%</c:formatCode>
                <c:ptCount val="6"/>
                <c:pt idx="0">
                  <c:v>8.9709762532981241E-3</c:v>
                </c:pt>
                <c:pt idx="1">
                  <c:v>5.6258790436005679E-3</c:v>
                </c:pt>
                <c:pt idx="2">
                  <c:v>0.45688714254529583</c:v>
                </c:pt>
                <c:pt idx="3">
                  <c:v>0.30985729386892169</c:v>
                </c:pt>
                <c:pt idx="4">
                  <c:v>1.2328383300644452E-2</c:v>
                </c:pt>
                <c:pt idx="5">
                  <c:v>1.9373673036093386E-2</c:v>
                </c:pt>
              </c:numCache>
            </c:numRef>
          </c:val>
          <c:extLst>
            <c:ext xmlns:c16="http://schemas.microsoft.com/office/drawing/2014/chart" uri="{C3380CC4-5D6E-409C-BE32-E72D297353CC}">
              <c16:uniqueId val="{00000000-71B7-438D-8484-0A87D904D47F}"/>
            </c:ext>
          </c:extLst>
        </c:ser>
        <c:dLbls>
          <c:showLegendKey val="0"/>
          <c:showVal val="0"/>
          <c:showCatName val="0"/>
          <c:showSerName val="0"/>
          <c:showPercent val="0"/>
          <c:showBubbleSize val="0"/>
        </c:dLbls>
        <c:gapWidth val="100"/>
        <c:overlap val="-27"/>
        <c:axId val="760814624"/>
        <c:axId val="760823480"/>
      </c:barChart>
      <c:catAx>
        <c:axId val="76081462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760823480"/>
        <c:crosses val="autoZero"/>
        <c:auto val="1"/>
        <c:lblAlgn val="ctr"/>
        <c:lblOffset val="100"/>
        <c:noMultiLvlLbl val="0"/>
      </c:catAx>
      <c:valAx>
        <c:axId val="760823480"/>
        <c:scaling>
          <c:orientation val="minMax"/>
        </c:scaling>
        <c:delete val="1"/>
        <c:axPos val="l"/>
        <c:numFmt formatCode="\+0.0%;\-0.0%" sourceLinked="1"/>
        <c:majorTickMark val="none"/>
        <c:minorTickMark val="none"/>
        <c:tickLblPos val="nextTo"/>
        <c:crossAx val="76081462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800" b="1">
          <a:solidFill>
            <a:sysClr val="windowText" lastClr="000000"/>
          </a:solidFill>
        </a:defRPr>
      </a:pPr>
      <a:endParaRPr lang="fr-FR"/>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'DONNEES 3-6 MOIS'!$H$14</c:f>
          <c:strCache>
            <c:ptCount val="1"/>
            <c:pt idx="0">
              <c:v>Barres crénelées ou nervurées pour béton armé</c:v>
            </c:pt>
          </c:strCache>
        </c:strRef>
      </c:tx>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mn-lt"/>
              <a:ea typeface="+mn-ea"/>
              <a:cs typeface="+mn-cs"/>
            </a:defRPr>
          </a:pPr>
          <a:endParaRPr lang="fr-FR"/>
        </a:p>
      </c:txPr>
    </c:title>
    <c:autoTitleDeleted val="0"/>
    <c:plotArea>
      <c:layout/>
      <c:lineChart>
        <c:grouping val="standard"/>
        <c:varyColors val="0"/>
        <c:ser>
          <c:idx val="1"/>
          <c:order val="0"/>
          <c:tx>
            <c:strRef>
              <c:f>'DONNEES 3-6 MOIS'!$H$14</c:f>
              <c:strCache>
                <c:ptCount val="1"/>
                <c:pt idx="0">
                  <c:v>Barres crénelées ou nervurées pour béton armé</c:v>
                </c:pt>
              </c:strCache>
            </c:strRef>
          </c:tx>
          <c:spPr>
            <a:ln w="28575" cap="rnd">
              <a:solidFill>
                <a:schemeClr val="accent6"/>
              </a:solidFill>
              <a:round/>
            </a:ln>
            <a:effectLst/>
          </c:spPr>
          <c:marker>
            <c:symbol val="none"/>
          </c:marker>
          <c:cat>
            <c:numRef>
              <c:f>'DONNEES 3-6 MOIS'!$A$16:$A$27</c:f>
              <c:numCache>
                <c:formatCode>mmm\-yyyy</c:formatCode>
                <c:ptCount val="12"/>
                <c:pt idx="0">
                  <c:v>45809</c:v>
                </c:pt>
                <c:pt idx="1">
                  <c:v>45839</c:v>
                </c:pt>
                <c:pt idx="2">
                  <c:v>45870</c:v>
                </c:pt>
                <c:pt idx="3">
                  <c:v>45901</c:v>
                </c:pt>
                <c:pt idx="4">
                  <c:v>45931</c:v>
                </c:pt>
                <c:pt idx="5">
                  <c:v>45962</c:v>
                </c:pt>
                <c:pt idx="6">
                  <c:v>45992</c:v>
                </c:pt>
                <c:pt idx="7">
                  <c:v>46023</c:v>
                </c:pt>
                <c:pt idx="8">
                  <c:v>46054</c:v>
                </c:pt>
                <c:pt idx="9">
                  <c:v>46082</c:v>
                </c:pt>
                <c:pt idx="10">
                  <c:v>46113</c:v>
                </c:pt>
                <c:pt idx="11">
                  <c:v>46143</c:v>
                </c:pt>
              </c:numCache>
            </c:numRef>
          </c:cat>
          <c:val>
            <c:numRef>
              <c:f>'DONNEES 3-6 MOIS'!$H$16:$H$27</c:f>
              <c:numCache>
                <c:formatCode>General</c:formatCode>
                <c:ptCount val="12"/>
                <c:pt idx="0">
                  <c:v>89.4</c:v>
                </c:pt>
                <c:pt idx="1">
                  <c:v>88.6</c:v>
                </c:pt>
                <c:pt idx="2">
                  <c:v>87.8</c:v>
                </c:pt>
                <c:pt idx="3">
                  <c:v>87.7</c:v>
                </c:pt>
                <c:pt idx="4">
                  <c:v>86.4</c:v>
                </c:pt>
                <c:pt idx="5">
                  <c:v>85.7</c:v>
                </c:pt>
                <c:pt idx="6">
                  <c:v>85.6</c:v>
                </c:pt>
                <c:pt idx="7">
                  <c:v>85.4</c:v>
                </c:pt>
                <c:pt idx="8">
                  <c:v>85.9</c:v>
                </c:pt>
                <c:pt idx="9">
                  <c:v>87.6</c:v>
                </c:pt>
                <c:pt idx="10">
                  <c:v>91.3</c:v>
                </c:pt>
                <c:pt idx="11">
                  <c:v>95.4</c:v>
                </c:pt>
              </c:numCache>
            </c:numRef>
          </c:val>
          <c:smooth val="0"/>
          <c:extLst>
            <c:ext xmlns:c16="http://schemas.microsoft.com/office/drawing/2014/chart" uri="{C3380CC4-5D6E-409C-BE32-E72D297353CC}">
              <c16:uniqueId val="{00000000-4AB9-4608-8497-558C56436A29}"/>
            </c:ext>
          </c:extLst>
        </c:ser>
        <c:dLbls>
          <c:showLegendKey val="0"/>
          <c:showVal val="0"/>
          <c:showCatName val="0"/>
          <c:showSerName val="0"/>
          <c:showPercent val="0"/>
          <c:showBubbleSize val="0"/>
        </c:dLbls>
        <c:smooth val="0"/>
        <c:axId val="400790288"/>
        <c:axId val="400794880"/>
      </c:lineChart>
      <c:dateAx>
        <c:axId val="400790288"/>
        <c:scaling>
          <c:orientation val="minMax"/>
        </c:scaling>
        <c:delete val="0"/>
        <c:axPos val="b"/>
        <c:numFmt formatCode="mmm\-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4880"/>
        <c:crosses val="autoZero"/>
        <c:auto val="1"/>
        <c:lblOffset val="100"/>
        <c:baseTimeUnit val="months"/>
        <c:majorUnit val="1"/>
        <c:majorTimeUnit val="months"/>
      </c:dateAx>
      <c:valAx>
        <c:axId val="400794880"/>
        <c:scaling>
          <c:orientation val="minMax"/>
        </c:scaling>
        <c:delete val="0"/>
        <c:axPos val="l"/>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0288"/>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b="1">
          <a:solidFill>
            <a:sysClr val="windowText" lastClr="000000"/>
          </a:solidFill>
        </a:defRPr>
      </a:pPr>
      <a:endParaRPr lang="fr-FR"/>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strRef>
          <c:f>'DONNEES 3-6 MOIS'!$G$14</c:f>
          <c:strCache>
            <c:ptCount val="1"/>
            <c:pt idx="0">
              <c:v>Béton prêt à l'emploi</c:v>
            </c:pt>
          </c:strCache>
        </c:strRef>
      </c:tx>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mn-lt"/>
              <a:ea typeface="+mn-ea"/>
              <a:cs typeface="+mn-cs"/>
            </a:defRPr>
          </a:pPr>
          <a:endParaRPr lang="fr-FR"/>
        </a:p>
      </c:txPr>
    </c:title>
    <c:autoTitleDeleted val="0"/>
    <c:plotArea>
      <c:layout/>
      <c:lineChart>
        <c:grouping val="standard"/>
        <c:varyColors val="0"/>
        <c:ser>
          <c:idx val="0"/>
          <c:order val="0"/>
          <c:tx>
            <c:strRef>
              <c:f>'DONNEES 3-6 MOIS'!$G$14</c:f>
              <c:strCache>
                <c:ptCount val="1"/>
                <c:pt idx="0">
                  <c:v>Béton prêt à l'emploi</c:v>
                </c:pt>
              </c:strCache>
            </c:strRef>
          </c:tx>
          <c:spPr>
            <a:ln w="28575" cap="rnd">
              <a:solidFill>
                <a:schemeClr val="accent6"/>
              </a:solidFill>
              <a:round/>
            </a:ln>
            <a:effectLst/>
          </c:spPr>
          <c:marker>
            <c:symbol val="none"/>
          </c:marker>
          <c:cat>
            <c:numRef>
              <c:f>'DONNEES 3-6 MOIS'!$A$16:$A$51</c:f>
              <c:numCache>
                <c:formatCode>mmm\-yyyy</c:formatCode>
                <c:ptCount val="36"/>
                <c:pt idx="0">
                  <c:v>45809</c:v>
                </c:pt>
                <c:pt idx="1">
                  <c:v>45839</c:v>
                </c:pt>
                <c:pt idx="2">
                  <c:v>45870</c:v>
                </c:pt>
                <c:pt idx="3">
                  <c:v>45901</c:v>
                </c:pt>
                <c:pt idx="4">
                  <c:v>45931</c:v>
                </c:pt>
                <c:pt idx="5">
                  <c:v>45962</c:v>
                </c:pt>
                <c:pt idx="6">
                  <c:v>45992</c:v>
                </c:pt>
                <c:pt idx="7">
                  <c:v>46023</c:v>
                </c:pt>
                <c:pt idx="8">
                  <c:v>46054</c:v>
                </c:pt>
                <c:pt idx="9">
                  <c:v>46082</c:v>
                </c:pt>
                <c:pt idx="10">
                  <c:v>46113</c:v>
                </c:pt>
                <c:pt idx="11">
                  <c:v>46143</c:v>
                </c:pt>
              </c:numCache>
            </c:numRef>
          </c:cat>
          <c:val>
            <c:numRef>
              <c:f>'DONNEES 3-6 MOIS'!$G$16:$G$51</c:f>
              <c:numCache>
                <c:formatCode>General</c:formatCode>
                <c:ptCount val="36"/>
                <c:pt idx="0">
                  <c:v>130.69999999999999</c:v>
                </c:pt>
                <c:pt idx="1">
                  <c:v>131.30000000000001</c:v>
                </c:pt>
                <c:pt idx="2">
                  <c:v>132.69999999999999</c:v>
                </c:pt>
                <c:pt idx="3">
                  <c:v>131.30000000000001</c:v>
                </c:pt>
                <c:pt idx="4">
                  <c:v>131.69999999999999</c:v>
                </c:pt>
                <c:pt idx="5">
                  <c:v>131.6</c:v>
                </c:pt>
                <c:pt idx="6">
                  <c:v>131.19999999999999</c:v>
                </c:pt>
                <c:pt idx="7">
                  <c:v>133.4</c:v>
                </c:pt>
                <c:pt idx="8">
                  <c:v>133.4</c:v>
                </c:pt>
                <c:pt idx="9">
                  <c:v>133.69999999999999</c:v>
                </c:pt>
                <c:pt idx="10">
                  <c:v>137.5</c:v>
                </c:pt>
                <c:pt idx="11">
                  <c:v>136.5</c:v>
                </c:pt>
              </c:numCache>
            </c:numRef>
          </c:val>
          <c:smooth val="0"/>
          <c:extLst>
            <c:ext xmlns:c16="http://schemas.microsoft.com/office/drawing/2014/chart" uri="{C3380CC4-5D6E-409C-BE32-E72D297353CC}">
              <c16:uniqueId val="{00000000-E9B2-4E39-A5BA-51D04CA841AB}"/>
            </c:ext>
          </c:extLst>
        </c:ser>
        <c:dLbls>
          <c:showLegendKey val="0"/>
          <c:showVal val="0"/>
          <c:showCatName val="0"/>
          <c:showSerName val="0"/>
          <c:showPercent val="0"/>
          <c:showBubbleSize val="0"/>
        </c:dLbls>
        <c:smooth val="0"/>
        <c:axId val="400790288"/>
        <c:axId val="400794880"/>
      </c:lineChart>
      <c:dateAx>
        <c:axId val="400790288"/>
        <c:scaling>
          <c:orientation val="minMax"/>
        </c:scaling>
        <c:delete val="0"/>
        <c:axPos val="b"/>
        <c:numFmt formatCode="mmm\-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4880"/>
        <c:crosses val="autoZero"/>
        <c:auto val="1"/>
        <c:lblOffset val="100"/>
        <c:baseTimeUnit val="months"/>
        <c:majorUnit val="1"/>
        <c:majorTimeUnit val="months"/>
      </c:dateAx>
      <c:valAx>
        <c:axId val="400794880"/>
        <c:scaling>
          <c:orientation val="minMax"/>
        </c:scaling>
        <c:delete val="0"/>
        <c:axPos val="l"/>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0288"/>
        <c:crosses val="autoZero"/>
        <c:crossBetween val="between"/>
      </c:valAx>
      <c:spPr>
        <a:noFill/>
        <a:ln>
          <a:noFill/>
        </a:ln>
        <a:effectLst/>
      </c:spPr>
    </c:plotArea>
    <c:plotVisOnly val="0"/>
    <c:dispBlanksAs val="gap"/>
    <c:showDLblsOverMax val="0"/>
    <c:extLst/>
  </c:chart>
  <c:spPr>
    <a:noFill/>
    <a:ln w="9525" cap="flat" cmpd="sng" algn="ctr">
      <a:noFill/>
      <a:round/>
    </a:ln>
    <a:effectLst/>
  </c:spPr>
  <c:txPr>
    <a:bodyPr/>
    <a:lstStyle/>
    <a:p>
      <a:pPr>
        <a:defRPr b="1">
          <a:solidFill>
            <a:sysClr val="windowText" lastClr="000000"/>
          </a:solidFill>
        </a:defRPr>
      </a:pPr>
      <a:endParaRPr lang="fr-FR"/>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73703965138848E-2"/>
          <c:y val="0.19027427845715808"/>
          <c:w val="0.90099299820546042"/>
          <c:h val="0.49461737603053801"/>
        </c:manualLayout>
      </c:layout>
      <c:lineChart>
        <c:grouping val="standard"/>
        <c:varyColors val="0"/>
        <c:ser>
          <c:idx val="0"/>
          <c:order val="0"/>
          <c:tx>
            <c:strRef>
              <c:f>'DONNEES DATE A DATE'!$B$14:$B$15</c:f>
              <c:strCache>
                <c:ptCount val="2"/>
                <c:pt idx="0">
                  <c:v>TP01</c:v>
                </c:pt>
              </c:strCache>
            </c:strRef>
          </c:tx>
          <c:spPr>
            <a:ln w="28575" cap="rnd">
              <a:solidFill>
                <a:schemeClr val="accent1"/>
              </a:solidFill>
              <a:round/>
            </a:ln>
            <a:effectLst/>
          </c:spPr>
          <c:marker>
            <c:symbol val="none"/>
          </c:marker>
          <c:cat>
            <c:numRef>
              <c:f>'DONNEES DATE A DATE'!$A$16:$A$116</c:f>
              <c:numCache>
                <c:formatCode>[$-40C]mmm\-yy;@</c:formatCode>
                <c:ptCount val="101"/>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pt idx="95">
                  <c:v>45992</c:v>
                </c:pt>
                <c:pt idx="96">
                  <c:v>46023</c:v>
                </c:pt>
                <c:pt idx="97">
                  <c:v>46054</c:v>
                </c:pt>
                <c:pt idx="98">
                  <c:v>46082</c:v>
                </c:pt>
                <c:pt idx="99">
                  <c:v>46113</c:v>
                </c:pt>
                <c:pt idx="100">
                  <c:v>46143</c:v>
                </c:pt>
              </c:numCache>
            </c:numRef>
          </c:cat>
          <c:val>
            <c:numRef>
              <c:f>'DONNEES DATE A DATE'!$B$16:$B$116</c:f>
              <c:numCache>
                <c:formatCode>0.0</c:formatCode>
                <c:ptCount val="101"/>
                <c:pt idx="0">
                  <c:v>107.3</c:v>
                </c:pt>
                <c:pt idx="1">
                  <c:v>107.4</c:v>
                </c:pt>
                <c:pt idx="2">
                  <c:v>107.7</c:v>
                </c:pt>
                <c:pt idx="3">
                  <c:v>108.1</c:v>
                </c:pt>
                <c:pt idx="4">
                  <c:v>108.8</c:v>
                </c:pt>
                <c:pt idx="5">
                  <c:v>109.6</c:v>
                </c:pt>
                <c:pt idx="6">
                  <c:v>109.8</c:v>
                </c:pt>
                <c:pt idx="7">
                  <c:v>110.2</c:v>
                </c:pt>
                <c:pt idx="8">
                  <c:v>110.4</c:v>
                </c:pt>
                <c:pt idx="9">
                  <c:v>110.9</c:v>
                </c:pt>
                <c:pt idx="10">
                  <c:v>111.1</c:v>
                </c:pt>
                <c:pt idx="11">
                  <c:v>110</c:v>
                </c:pt>
                <c:pt idx="12">
                  <c:v>109.7</c:v>
                </c:pt>
                <c:pt idx="13">
                  <c:v>110.3</c:v>
                </c:pt>
                <c:pt idx="14">
                  <c:v>111.3</c:v>
                </c:pt>
                <c:pt idx="15">
                  <c:v>111.6</c:v>
                </c:pt>
                <c:pt idx="16">
                  <c:v>111.8</c:v>
                </c:pt>
                <c:pt idx="17">
                  <c:v>111.5</c:v>
                </c:pt>
                <c:pt idx="18">
                  <c:v>111.5</c:v>
                </c:pt>
                <c:pt idx="19">
                  <c:v>111.5</c:v>
                </c:pt>
                <c:pt idx="20">
                  <c:v>111.2</c:v>
                </c:pt>
                <c:pt idx="21">
                  <c:v>111.2</c:v>
                </c:pt>
                <c:pt idx="22">
                  <c:v>110.5</c:v>
                </c:pt>
                <c:pt idx="23">
                  <c:v>110.4</c:v>
                </c:pt>
                <c:pt idx="24">
                  <c:v>111.4</c:v>
                </c:pt>
                <c:pt idx="25">
                  <c:v>111.7</c:v>
                </c:pt>
                <c:pt idx="26">
                  <c:v>110.8</c:v>
                </c:pt>
                <c:pt idx="27">
                  <c:v>108.9</c:v>
                </c:pt>
                <c:pt idx="28">
                  <c:v>108.7</c:v>
                </c:pt>
                <c:pt idx="29">
                  <c:v>108.8</c:v>
                </c:pt>
                <c:pt idx="30">
                  <c:v>109.9</c:v>
                </c:pt>
                <c:pt idx="31">
                  <c:v>110</c:v>
                </c:pt>
                <c:pt idx="32">
                  <c:v>110.1</c:v>
                </c:pt>
                <c:pt idx="33">
                  <c:v>109.5</c:v>
                </c:pt>
                <c:pt idx="34">
                  <c:v>109.5</c:v>
                </c:pt>
                <c:pt idx="35">
                  <c:v>109.8</c:v>
                </c:pt>
                <c:pt idx="36">
                  <c:v>111.2</c:v>
                </c:pt>
                <c:pt idx="37">
                  <c:v>112.1</c:v>
                </c:pt>
                <c:pt idx="38">
                  <c:v>113.5</c:v>
                </c:pt>
                <c:pt idx="39">
                  <c:v>113.8</c:v>
                </c:pt>
                <c:pt idx="40">
                  <c:v>114</c:v>
                </c:pt>
                <c:pt idx="41">
                  <c:v>114.8</c:v>
                </c:pt>
                <c:pt idx="42">
                  <c:v>115.9</c:v>
                </c:pt>
                <c:pt idx="43">
                  <c:v>116.1</c:v>
                </c:pt>
                <c:pt idx="44">
                  <c:v>116.4</c:v>
                </c:pt>
                <c:pt idx="45">
                  <c:v>117.5</c:v>
                </c:pt>
                <c:pt idx="46">
                  <c:v>118.8</c:v>
                </c:pt>
                <c:pt idx="47">
                  <c:v>118.2</c:v>
                </c:pt>
                <c:pt idx="48">
                  <c:v>119.9</c:v>
                </c:pt>
                <c:pt idx="49">
                  <c:v>121.3</c:v>
                </c:pt>
                <c:pt idx="50">
                  <c:v>124.7</c:v>
                </c:pt>
                <c:pt idx="51">
                  <c:v>126.6</c:v>
                </c:pt>
                <c:pt idx="52">
                  <c:v>127.3</c:v>
                </c:pt>
                <c:pt idx="53">
                  <c:v>129.1</c:v>
                </c:pt>
                <c:pt idx="54">
                  <c:v>129.1</c:v>
                </c:pt>
                <c:pt idx="55">
                  <c:v>128.9</c:v>
                </c:pt>
                <c:pt idx="56">
                  <c:v>128.4</c:v>
                </c:pt>
                <c:pt idx="57">
                  <c:v>127.7</c:v>
                </c:pt>
                <c:pt idx="58">
                  <c:v>127.3</c:v>
                </c:pt>
                <c:pt idx="59">
                  <c:v>126.5</c:v>
                </c:pt>
                <c:pt idx="60">
                  <c:v>128</c:v>
                </c:pt>
                <c:pt idx="61">
                  <c:v>127.9</c:v>
                </c:pt>
                <c:pt idx="62">
                  <c:v>128.9</c:v>
                </c:pt>
                <c:pt idx="63">
                  <c:v>129.4</c:v>
                </c:pt>
                <c:pt idx="64">
                  <c:v>128.9</c:v>
                </c:pt>
                <c:pt idx="65">
                  <c:v>128.30000000000001</c:v>
                </c:pt>
                <c:pt idx="66">
                  <c:v>128.6</c:v>
                </c:pt>
                <c:pt idx="67">
                  <c:v>129.19999999999999</c:v>
                </c:pt>
                <c:pt idx="68">
                  <c:v>130.80000000000001</c:v>
                </c:pt>
                <c:pt idx="69">
                  <c:v>130.69999999999999</c:v>
                </c:pt>
                <c:pt idx="70">
                  <c:v>130.30000000000001</c:v>
                </c:pt>
                <c:pt idx="71">
                  <c:v>129.6</c:v>
                </c:pt>
                <c:pt idx="72">
                  <c:v>129.6</c:v>
                </c:pt>
                <c:pt idx="73">
                  <c:v>129.9</c:v>
                </c:pt>
                <c:pt idx="74">
                  <c:v>130.1</c:v>
                </c:pt>
                <c:pt idx="75">
                  <c:v>130.30000000000001</c:v>
                </c:pt>
                <c:pt idx="76">
                  <c:v>130.1</c:v>
                </c:pt>
                <c:pt idx="77">
                  <c:v>129.80000000000001</c:v>
                </c:pt>
                <c:pt idx="78">
                  <c:v>129.9</c:v>
                </c:pt>
                <c:pt idx="79">
                  <c:v>130.1</c:v>
                </c:pt>
                <c:pt idx="80">
                  <c:v>129.1</c:v>
                </c:pt>
                <c:pt idx="81">
                  <c:v>128.80000000000001</c:v>
                </c:pt>
                <c:pt idx="82">
                  <c:v>130.19999999999999</c:v>
                </c:pt>
                <c:pt idx="83">
                  <c:v>130.6</c:v>
                </c:pt>
                <c:pt idx="84">
                  <c:v>131.9</c:v>
                </c:pt>
                <c:pt idx="85">
                  <c:v>132.19999999999999</c:v>
                </c:pt>
                <c:pt idx="86">
                  <c:v>131.69999999999999</c:v>
                </c:pt>
                <c:pt idx="87">
                  <c:v>131.4</c:v>
                </c:pt>
                <c:pt idx="88">
                  <c:v>130.69999999999999</c:v>
                </c:pt>
                <c:pt idx="89">
                  <c:v>130.5</c:v>
                </c:pt>
                <c:pt idx="90">
                  <c:v>131</c:v>
                </c:pt>
                <c:pt idx="91">
                  <c:v>131.4</c:v>
                </c:pt>
                <c:pt idx="92">
                  <c:v>130.69999999999999</c:v>
                </c:pt>
                <c:pt idx="93">
                  <c:v>130.5</c:v>
                </c:pt>
                <c:pt idx="94">
                  <c:v>130.80000000000001</c:v>
                </c:pt>
                <c:pt idx="95">
                  <c:v>130.30000000000001</c:v>
                </c:pt>
                <c:pt idx="96">
                  <c:v>131.4</c:v>
                </c:pt>
                <c:pt idx="97">
                  <c:v>132.19999999999999</c:v>
                </c:pt>
                <c:pt idx="98">
                  <c:v>136.30000000000001</c:v>
                </c:pt>
                <c:pt idx="99">
                  <c:v>141</c:v>
                </c:pt>
                <c:pt idx="100">
                  <c:v>140.4</c:v>
                </c:pt>
              </c:numCache>
            </c:numRef>
          </c:val>
          <c:smooth val="0"/>
          <c:extLst>
            <c:ext xmlns:c16="http://schemas.microsoft.com/office/drawing/2014/chart" uri="{C3380CC4-5D6E-409C-BE32-E72D297353CC}">
              <c16:uniqueId val="{00000000-D35B-40A6-8E95-7B19DECE115E}"/>
            </c:ext>
          </c:extLst>
        </c:ser>
        <c:ser>
          <c:idx val="1"/>
          <c:order val="1"/>
          <c:tx>
            <c:strRef>
              <c:f>'DONNEES DATE A DATE'!$C$14:$C$15</c:f>
              <c:strCache>
                <c:ptCount val="2"/>
                <c:pt idx="0">
                  <c:v>TP02</c:v>
                </c:pt>
              </c:strCache>
            </c:strRef>
          </c:tx>
          <c:spPr>
            <a:ln w="28575" cap="rnd">
              <a:solidFill>
                <a:schemeClr val="accent6"/>
              </a:solidFill>
              <a:round/>
            </a:ln>
            <a:effectLst/>
          </c:spPr>
          <c:marker>
            <c:symbol val="none"/>
          </c:marker>
          <c:dPt>
            <c:idx val="48"/>
            <c:marker>
              <c:symbol val="none"/>
            </c:marker>
            <c:bubble3D val="0"/>
            <c:extLst>
              <c:ext xmlns:c16="http://schemas.microsoft.com/office/drawing/2014/chart" uri="{C3380CC4-5D6E-409C-BE32-E72D297353CC}">
                <c16:uniqueId val="{00000000-5538-4DC5-8EEF-D50DA03E3193}"/>
              </c:ext>
            </c:extLst>
          </c:dPt>
          <c:dPt>
            <c:idx val="72"/>
            <c:marker>
              <c:symbol val="none"/>
            </c:marker>
            <c:bubble3D val="0"/>
            <c:extLst>
              <c:ext xmlns:c16="http://schemas.microsoft.com/office/drawing/2014/chart" uri="{C3380CC4-5D6E-409C-BE32-E72D297353CC}">
                <c16:uniqueId val="{00000001-5538-4DC5-8EEF-D50DA03E3193}"/>
              </c:ext>
            </c:extLst>
          </c:dPt>
          <c:cat>
            <c:numRef>
              <c:f>'DONNEES DATE A DATE'!$A$16:$A$116</c:f>
              <c:numCache>
                <c:formatCode>[$-40C]mmm\-yy;@</c:formatCode>
                <c:ptCount val="101"/>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pt idx="95">
                  <c:v>45992</c:v>
                </c:pt>
                <c:pt idx="96">
                  <c:v>46023</c:v>
                </c:pt>
                <c:pt idx="97">
                  <c:v>46054</c:v>
                </c:pt>
                <c:pt idx="98">
                  <c:v>46082</c:v>
                </c:pt>
                <c:pt idx="99">
                  <c:v>46113</c:v>
                </c:pt>
                <c:pt idx="100">
                  <c:v>46143</c:v>
                </c:pt>
              </c:numCache>
            </c:numRef>
          </c:cat>
          <c:val>
            <c:numRef>
              <c:f>'DONNEES DATE A DATE'!$C$16:$C$116</c:f>
              <c:numCache>
                <c:formatCode>0.0</c:formatCode>
                <c:ptCount val="101"/>
                <c:pt idx="0">
                  <c:v>111.2</c:v>
                </c:pt>
                <c:pt idx="1">
                  <c:v>111.5</c:v>
                </c:pt>
                <c:pt idx="2">
                  <c:v>112</c:v>
                </c:pt>
                <c:pt idx="3">
                  <c:v>112.2</c:v>
                </c:pt>
                <c:pt idx="4">
                  <c:v>112.4</c:v>
                </c:pt>
                <c:pt idx="5">
                  <c:v>112.2</c:v>
                </c:pt>
                <c:pt idx="6">
                  <c:v>112.1</c:v>
                </c:pt>
                <c:pt idx="7">
                  <c:v>112.6</c:v>
                </c:pt>
                <c:pt idx="8">
                  <c:v>112.9</c:v>
                </c:pt>
                <c:pt idx="9">
                  <c:v>113</c:v>
                </c:pt>
                <c:pt idx="10">
                  <c:v>113.1</c:v>
                </c:pt>
                <c:pt idx="11">
                  <c:v>113.2</c:v>
                </c:pt>
                <c:pt idx="12">
                  <c:v>113.5</c:v>
                </c:pt>
                <c:pt idx="13">
                  <c:v>113.6</c:v>
                </c:pt>
                <c:pt idx="14">
                  <c:v>114.1</c:v>
                </c:pt>
                <c:pt idx="15">
                  <c:v>114.1</c:v>
                </c:pt>
                <c:pt idx="16">
                  <c:v>114.1</c:v>
                </c:pt>
                <c:pt idx="17">
                  <c:v>114.3</c:v>
                </c:pt>
                <c:pt idx="18">
                  <c:v>114.5</c:v>
                </c:pt>
                <c:pt idx="19">
                  <c:v>114.7</c:v>
                </c:pt>
                <c:pt idx="20">
                  <c:v>114.6</c:v>
                </c:pt>
                <c:pt idx="21">
                  <c:v>114.2</c:v>
                </c:pt>
                <c:pt idx="22">
                  <c:v>114.2</c:v>
                </c:pt>
                <c:pt idx="23">
                  <c:v>114.3</c:v>
                </c:pt>
                <c:pt idx="24">
                  <c:v>114.7</c:v>
                </c:pt>
                <c:pt idx="25">
                  <c:v>114.8</c:v>
                </c:pt>
                <c:pt idx="26">
                  <c:v>114.7</c:v>
                </c:pt>
                <c:pt idx="27">
                  <c:v>114.4</c:v>
                </c:pt>
                <c:pt idx="28">
                  <c:v>114.2</c:v>
                </c:pt>
                <c:pt idx="29">
                  <c:v>113.7</c:v>
                </c:pt>
                <c:pt idx="30">
                  <c:v>113.7</c:v>
                </c:pt>
                <c:pt idx="31">
                  <c:v>113.8</c:v>
                </c:pt>
                <c:pt idx="32">
                  <c:v>114.4</c:v>
                </c:pt>
                <c:pt idx="33">
                  <c:v>114.4</c:v>
                </c:pt>
                <c:pt idx="34">
                  <c:v>114.5</c:v>
                </c:pt>
                <c:pt idx="35">
                  <c:v>114.9</c:v>
                </c:pt>
                <c:pt idx="36">
                  <c:v>116.3</c:v>
                </c:pt>
                <c:pt idx="37">
                  <c:v>117.2</c:v>
                </c:pt>
                <c:pt idx="38">
                  <c:v>118.3</c:v>
                </c:pt>
                <c:pt idx="39">
                  <c:v>118.9</c:v>
                </c:pt>
                <c:pt idx="40">
                  <c:v>119</c:v>
                </c:pt>
                <c:pt idx="41">
                  <c:v>120.8</c:v>
                </c:pt>
                <c:pt idx="42">
                  <c:v>122.7</c:v>
                </c:pt>
                <c:pt idx="43">
                  <c:v>123.1</c:v>
                </c:pt>
                <c:pt idx="44">
                  <c:v>123.7</c:v>
                </c:pt>
                <c:pt idx="45">
                  <c:v>123.6</c:v>
                </c:pt>
                <c:pt idx="46">
                  <c:v>124</c:v>
                </c:pt>
                <c:pt idx="47">
                  <c:v>124.4</c:v>
                </c:pt>
                <c:pt idx="48">
                  <c:v>125.3</c:v>
                </c:pt>
                <c:pt idx="49">
                  <c:v>125.7</c:v>
                </c:pt>
                <c:pt idx="50">
                  <c:v>127.2</c:v>
                </c:pt>
                <c:pt idx="51">
                  <c:v>131</c:v>
                </c:pt>
                <c:pt idx="52">
                  <c:v>133.30000000000001</c:v>
                </c:pt>
                <c:pt idx="53">
                  <c:v>132.19999999999999</c:v>
                </c:pt>
                <c:pt idx="54">
                  <c:v>132.19999999999999</c:v>
                </c:pt>
                <c:pt idx="55">
                  <c:v>132.1</c:v>
                </c:pt>
                <c:pt idx="56">
                  <c:v>130.9</c:v>
                </c:pt>
                <c:pt idx="57">
                  <c:v>130.5</c:v>
                </c:pt>
                <c:pt idx="58">
                  <c:v>130.19999999999999</c:v>
                </c:pt>
                <c:pt idx="59">
                  <c:v>129.4</c:v>
                </c:pt>
                <c:pt idx="60">
                  <c:v>130.4</c:v>
                </c:pt>
                <c:pt idx="61">
                  <c:v>132.4</c:v>
                </c:pt>
                <c:pt idx="62">
                  <c:v>135.30000000000001</c:v>
                </c:pt>
                <c:pt idx="63">
                  <c:v>135.69999999999999</c:v>
                </c:pt>
                <c:pt idx="64">
                  <c:v>133.19999999999999</c:v>
                </c:pt>
                <c:pt idx="65">
                  <c:v>132.19999999999999</c:v>
                </c:pt>
                <c:pt idx="66">
                  <c:v>131.1</c:v>
                </c:pt>
                <c:pt idx="67">
                  <c:v>131.5</c:v>
                </c:pt>
                <c:pt idx="68">
                  <c:v>131.30000000000001</c:v>
                </c:pt>
                <c:pt idx="69">
                  <c:v>131.6</c:v>
                </c:pt>
                <c:pt idx="70">
                  <c:v>132.6</c:v>
                </c:pt>
                <c:pt idx="71">
                  <c:v>133.69999999999999</c:v>
                </c:pt>
                <c:pt idx="72">
                  <c:v>134</c:v>
                </c:pt>
                <c:pt idx="73">
                  <c:v>133.6</c:v>
                </c:pt>
                <c:pt idx="74">
                  <c:v>133.80000000000001</c:v>
                </c:pt>
                <c:pt idx="75">
                  <c:v>133.4</c:v>
                </c:pt>
                <c:pt idx="76">
                  <c:v>132.5</c:v>
                </c:pt>
                <c:pt idx="77">
                  <c:v>132.1</c:v>
                </c:pt>
                <c:pt idx="78">
                  <c:v>132.30000000000001</c:v>
                </c:pt>
                <c:pt idx="79">
                  <c:v>132.80000000000001</c:v>
                </c:pt>
                <c:pt idx="80">
                  <c:v>133</c:v>
                </c:pt>
                <c:pt idx="81">
                  <c:v>133.1</c:v>
                </c:pt>
                <c:pt idx="82">
                  <c:v>133.6</c:v>
                </c:pt>
                <c:pt idx="83">
                  <c:v>134.19999999999999</c:v>
                </c:pt>
                <c:pt idx="84">
                  <c:v>135.1</c:v>
                </c:pt>
                <c:pt idx="85">
                  <c:v>135</c:v>
                </c:pt>
                <c:pt idx="86">
                  <c:v>135</c:v>
                </c:pt>
                <c:pt idx="87">
                  <c:v>135.5</c:v>
                </c:pt>
                <c:pt idx="88">
                  <c:v>135.30000000000001</c:v>
                </c:pt>
                <c:pt idx="89">
                  <c:v>135</c:v>
                </c:pt>
                <c:pt idx="90">
                  <c:v>135.19999999999999</c:v>
                </c:pt>
                <c:pt idx="91">
                  <c:v>136.1</c:v>
                </c:pt>
                <c:pt idx="92">
                  <c:v>135.69999999999999</c:v>
                </c:pt>
                <c:pt idx="93">
                  <c:v>135.69999999999999</c:v>
                </c:pt>
                <c:pt idx="94">
                  <c:v>135.80000000000001</c:v>
                </c:pt>
                <c:pt idx="95">
                  <c:v>136.1</c:v>
                </c:pt>
                <c:pt idx="96">
                  <c:v>137.5</c:v>
                </c:pt>
                <c:pt idx="97">
                  <c:v>137.5</c:v>
                </c:pt>
                <c:pt idx="98">
                  <c:v>138.9</c:v>
                </c:pt>
                <c:pt idx="99">
                  <c:v>140.69999999999999</c:v>
                </c:pt>
                <c:pt idx="100">
                  <c:v>141</c:v>
                </c:pt>
              </c:numCache>
            </c:numRef>
          </c:val>
          <c:smooth val="0"/>
          <c:extLst>
            <c:ext xmlns:c16="http://schemas.microsoft.com/office/drawing/2014/chart" uri="{C3380CC4-5D6E-409C-BE32-E72D297353CC}">
              <c16:uniqueId val="{00000007-5FEC-4311-95A9-8B460F5B409C}"/>
            </c:ext>
          </c:extLst>
        </c:ser>
        <c:dLbls>
          <c:showLegendKey val="0"/>
          <c:showVal val="0"/>
          <c:showCatName val="0"/>
          <c:showSerName val="0"/>
          <c:showPercent val="0"/>
          <c:showBubbleSize val="0"/>
        </c:dLbls>
        <c:smooth val="0"/>
        <c:axId val="412954848"/>
        <c:axId val="412955176"/>
      </c:lineChart>
      <c:dateAx>
        <c:axId val="412954848"/>
        <c:scaling>
          <c:orientation val="minMax"/>
        </c:scaling>
        <c:delete val="0"/>
        <c:axPos val="b"/>
        <c:numFmt formatCode="[$-40C]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12955176"/>
        <c:crosses val="autoZero"/>
        <c:auto val="0"/>
        <c:lblOffset val="100"/>
        <c:baseTimeUnit val="months"/>
        <c:majorUnit val="4"/>
        <c:majorTimeUnit val="months"/>
      </c:dateAx>
      <c:valAx>
        <c:axId val="412955176"/>
        <c:scaling>
          <c:orientation val="minMax"/>
          <c:min val="95"/>
        </c:scaling>
        <c:delete val="0"/>
        <c:axPos val="l"/>
        <c:majorGridlines>
          <c:spPr>
            <a:ln w="9525" cap="flat" cmpd="sng" algn="ctr">
              <a:solidFill>
                <a:schemeClr val="tx1">
                  <a:lumMod val="15000"/>
                  <a:lumOff val="85000"/>
                </a:schemeClr>
              </a:solidFill>
              <a:round/>
            </a:ln>
            <a:effectLst/>
          </c:spPr>
        </c:majorGridlines>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12954848"/>
        <c:crosses val="autoZero"/>
        <c:crossBetween val="midCat"/>
      </c:valAx>
      <c:spPr>
        <a:noFill/>
        <a:ln>
          <a:noFill/>
        </a:ln>
        <a:effectLst/>
      </c:spPr>
    </c:plotArea>
    <c:legend>
      <c:legendPos val="t"/>
      <c:overlay val="0"/>
      <c:spPr>
        <a:noFill/>
        <a:ln>
          <a:noFill/>
        </a:ln>
        <a:effectLst/>
      </c:spPr>
      <c:txPr>
        <a:bodyPr rot="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legend>
    <c:plotVisOnly val="1"/>
    <c:dispBlanksAs val="span"/>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800" b="1">
          <a:solidFill>
            <a:sysClr val="windowText" lastClr="000000"/>
          </a:solidFill>
        </a:defRPr>
      </a:pPr>
      <a:endParaRPr lang="fr-FR"/>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0162484075455479"/>
          <c:y val="4.4496889052621103E-3"/>
          <c:w val="0.58967847769028869"/>
          <c:h val="0.86815272191695458"/>
        </c:manualLayout>
      </c:layout>
      <c:barChart>
        <c:barDir val="bar"/>
        <c:grouping val="clustered"/>
        <c:varyColors val="0"/>
        <c:ser>
          <c:idx val="0"/>
          <c:order val="0"/>
          <c:spPr>
            <a:solidFill>
              <a:schemeClr val="accent6"/>
            </a:solidFill>
            <a:ln w="19050">
              <a:solidFill>
                <a:schemeClr val="lt1"/>
              </a:solidFill>
            </a:ln>
            <a:effectLst/>
          </c:spPr>
          <c:invertIfNegative val="0"/>
          <c:dLbls>
            <c:numFmt formatCode="0%" sourceLinked="0"/>
            <c:spPr>
              <a:noFill/>
              <a:ln>
                <a:noFill/>
              </a:ln>
              <a:effectLst/>
            </c:spPr>
            <c:txPr>
              <a:bodyPr rot="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'DONNEES DATE A DATE'!$B$5:$B$11</c:f>
              <c:strCache>
                <c:ptCount val="7"/>
                <c:pt idx="0">
                  <c:v>Matériel</c:v>
                </c:pt>
                <c:pt idx="1">
                  <c:v>Travail</c:v>
                </c:pt>
                <c:pt idx="2">
                  <c:v>Energie</c:v>
                </c:pt>
                <c:pt idx="3">
                  <c:v>Matériaux</c:v>
                </c:pt>
                <c:pt idx="4">
                  <c:v>Frais divers</c:v>
                </c:pt>
                <c:pt idx="5">
                  <c:v>Transport</c:v>
                </c:pt>
                <c:pt idx="6">
                  <c:v>Déchets</c:v>
                </c:pt>
              </c:strCache>
            </c:strRef>
          </c:cat>
          <c:val>
            <c:numRef>
              <c:f>'DONNEES DATE A DATE'!$C$5:$C$11</c:f>
              <c:numCache>
                <c:formatCode>General</c:formatCode>
                <c:ptCount val="7"/>
                <c:pt idx="0">
                  <c:v>0.21</c:v>
                </c:pt>
                <c:pt idx="1">
                  <c:v>0.5</c:v>
                </c:pt>
                <c:pt idx="2">
                  <c:v>0.02</c:v>
                </c:pt>
                <c:pt idx="3">
                  <c:v>0.24</c:v>
                </c:pt>
                <c:pt idx="4">
                  <c:v>0.01</c:v>
                </c:pt>
                <c:pt idx="5">
                  <c:v>0.01</c:v>
                </c:pt>
                <c:pt idx="6">
                  <c:v>0.01</c:v>
                </c:pt>
              </c:numCache>
            </c:numRef>
          </c:val>
          <c:extLst>
            <c:ext xmlns:c16="http://schemas.microsoft.com/office/drawing/2014/chart" uri="{C3380CC4-5D6E-409C-BE32-E72D297353CC}">
              <c16:uniqueId val="{00000000-DC3F-43AE-B6BA-4F3A458DAC87}"/>
            </c:ext>
          </c:extLst>
        </c:ser>
        <c:dLbls>
          <c:showLegendKey val="0"/>
          <c:showVal val="0"/>
          <c:showCatName val="0"/>
          <c:showSerName val="0"/>
          <c:showPercent val="0"/>
          <c:showBubbleSize val="0"/>
        </c:dLbls>
        <c:gapWidth val="50"/>
        <c:axId val="707804624"/>
        <c:axId val="707809216"/>
      </c:barChart>
      <c:valAx>
        <c:axId val="707809216"/>
        <c:scaling>
          <c:orientation val="minMax"/>
        </c:scaling>
        <c:delete val="1"/>
        <c:axPos val="t"/>
        <c:numFmt formatCode="General" sourceLinked="1"/>
        <c:majorTickMark val="out"/>
        <c:minorTickMark val="none"/>
        <c:tickLblPos val="nextTo"/>
        <c:crossAx val="707804624"/>
        <c:crosses val="autoZero"/>
        <c:crossBetween val="between"/>
      </c:valAx>
      <c:catAx>
        <c:axId val="707804624"/>
        <c:scaling>
          <c:orientation val="maxMin"/>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707809216"/>
        <c:crosses val="autoZero"/>
        <c:auto val="1"/>
        <c:lblAlgn val="ctr"/>
        <c:lblOffset val="100"/>
        <c:noMultiLvlLbl val="0"/>
      </c:cat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800" b="1">
          <a:solidFill>
            <a:sysClr val="windowText" lastClr="000000"/>
          </a:solidFill>
        </a:defRPr>
      </a:pPr>
      <a:endParaRPr lang="fr-FR"/>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'DONNEES DATE A DATE'!$D$14</c:f>
          <c:strCache>
            <c:ptCount val="1"/>
            <c:pt idx="0">
              <c:v>Matériel</c:v>
            </c:pt>
          </c:strCache>
        </c:strRef>
      </c:tx>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mn-lt"/>
              <a:ea typeface="+mn-ea"/>
              <a:cs typeface="+mn-cs"/>
            </a:defRPr>
          </a:pPr>
          <a:endParaRPr lang="fr-FR"/>
        </a:p>
      </c:txPr>
    </c:title>
    <c:autoTitleDeleted val="0"/>
    <c:plotArea>
      <c:layout>
        <c:manualLayout>
          <c:layoutTarget val="inner"/>
          <c:xMode val="edge"/>
          <c:yMode val="edge"/>
          <c:x val="0.11326404761461666"/>
          <c:y val="0.20903631114316187"/>
          <c:w val="0.85933257045955969"/>
          <c:h val="0.54206162984375583"/>
        </c:manualLayout>
      </c:layout>
      <c:lineChart>
        <c:grouping val="standard"/>
        <c:varyColors val="0"/>
        <c:ser>
          <c:idx val="1"/>
          <c:order val="0"/>
          <c:tx>
            <c:strRef>
              <c:f>'DONNEES DATE A DATE'!$D$14</c:f>
              <c:strCache>
                <c:ptCount val="1"/>
                <c:pt idx="0">
                  <c:v>Matériel</c:v>
                </c:pt>
              </c:strCache>
            </c:strRef>
          </c:tx>
          <c:spPr>
            <a:ln w="28575" cap="rnd">
              <a:solidFill>
                <a:schemeClr val="accent2"/>
              </a:solidFill>
              <a:round/>
            </a:ln>
            <a:effectLst/>
          </c:spPr>
          <c:marker>
            <c:symbol val="none"/>
          </c:marker>
          <c:cat>
            <c:numRef>
              <c:f>'DONNEES DATE A DATE'!$A$16:$A$116</c:f>
              <c:numCache>
                <c:formatCode>[$-40C]mmm\-yy;@</c:formatCode>
                <c:ptCount val="101"/>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pt idx="95">
                  <c:v>45992</c:v>
                </c:pt>
                <c:pt idx="96">
                  <c:v>46023</c:v>
                </c:pt>
                <c:pt idx="97">
                  <c:v>46054</c:v>
                </c:pt>
                <c:pt idx="98">
                  <c:v>46082</c:v>
                </c:pt>
                <c:pt idx="99">
                  <c:v>46113</c:v>
                </c:pt>
                <c:pt idx="100">
                  <c:v>46143</c:v>
                </c:pt>
              </c:numCache>
            </c:numRef>
          </c:cat>
          <c:val>
            <c:numRef>
              <c:f>'DONNEES DATE A DATE'!$D$16:$D$116</c:f>
              <c:numCache>
                <c:formatCode>0.0</c:formatCode>
                <c:ptCount val="101"/>
                <c:pt idx="0">
                  <c:v>104.1</c:v>
                </c:pt>
                <c:pt idx="1">
                  <c:v>103.8</c:v>
                </c:pt>
                <c:pt idx="2">
                  <c:v>104.1</c:v>
                </c:pt>
                <c:pt idx="3">
                  <c:v>104.3</c:v>
                </c:pt>
                <c:pt idx="4">
                  <c:v>104.5</c:v>
                </c:pt>
                <c:pt idx="5">
                  <c:v>104.6</c:v>
                </c:pt>
                <c:pt idx="6">
                  <c:v>104.6</c:v>
                </c:pt>
                <c:pt idx="7">
                  <c:v>104.6</c:v>
                </c:pt>
                <c:pt idx="8">
                  <c:v>104.6</c:v>
                </c:pt>
                <c:pt idx="9">
                  <c:v>104.3</c:v>
                </c:pt>
                <c:pt idx="10">
                  <c:v>104.3</c:v>
                </c:pt>
                <c:pt idx="11">
                  <c:v>104.1</c:v>
                </c:pt>
                <c:pt idx="12">
                  <c:v>104.7</c:v>
                </c:pt>
                <c:pt idx="13">
                  <c:v>104.7</c:v>
                </c:pt>
                <c:pt idx="14">
                  <c:v>105.7</c:v>
                </c:pt>
                <c:pt idx="15">
                  <c:v>105.3</c:v>
                </c:pt>
                <c:pt idx="16">
                  <c:v>105</c:v>
                </c:pt>
                <c:pt idx="17">
                  <c:v>104.9</c:v>
                </c:pt>
                <c:pt idx="18">
                  <c:v>105</c:v>
                </c:pt>
                <c:pt idx="19">
                  <c:v>105.1</c:v>
                </c:pt>
                <c:pt idx="20">
                  <c:v>105.7</c:v>
                </c:pt>
                <c:pt idx="21">
                  <c:v>105.6</c:v>
                </c:pt>
                <c:pt idx="22">
                  <c:v>105.1</c:v>
                </c:pt>
                <c:pt idx="23">
                  <c:v>104.6</c:v>
                </c:pt>
                <c:pt idx="24">
                  <c:v>104.7</c:v>
                </c:pt>
                <c:pt idx="25">
                  <c:v>105.5</c:v>
                </c:pt>
                <c:pt idx="26">
                  <c:v>105.3</c:v>
                </c:pt>
                <c:pt idx="27">
                  <c:v>105.5</c:v>
                </c:pt>
                <c:pt idx="28">
                  <c:v>104.9</c:v>
                </c:pt>
                <c:pt idx="29">
                  <c:v>103</c:v>
                </c:pt>
                <c:pt idx="30">
                  <c:v>102.6</c:v>
                </c:pt>
                <c:pt idx="31">
                  <c:v>102.8</c:v>
                </c:pt>
                <c:pt idx="32">
                  <c:v>104.4</c:v>
                </c:pt>
                <c:pt idx="33">
                  <c:v>104.1</c:v>
                </c:pt>
                <c:pt idx="34">
                  <c:v>104.4</c:v>
                </c:pt>
                <c:pt idx="35">
                  <c:v>104.4</c:v>
                </c:pt>
                <c:pt idx="36">
                  <c:v>104.5</c:v>
                </c:pt>
                <c:pt idx="37">
                  <c:v>104.5</c:v>
                </c:pt>
                <c:pt idx="38">
                  <c:v>107.6</c:v>
                </c:pt>
                <c:pt idx="39">
                  <c:v>107.8</c:v>
                </c:pt>
                <c:pt idx="40">
                  <c:v>107.2</c:v>
                </c:pt>
                <c:pt idx="41">
                  <c:v>107.8</c:v>
                </c:pt>
                <c:pt idx="42">
                  <c:v>108.3</c:v>
                </c:pt>
                <c:pt idx="43">
                  <c:v>108.2</c:v>
                </c:pt>
                <c:pt idx="44">
                  <c:v>108.6</c:v>
                </c:pt>
                <c:pt idx="45">
                  <c:v>109</c:v>
                </c:pt>
                <c:pt idx="46">
                  <c:v>109.1</c:v>
                </c:pt>
                <c:pt idx="47">
                  <c:v>109.4</c:v>
                </c:pt>
                <c:pt idx="48">
                  <c:v>110.8</c:v>
                </c:pt>
                <c:pt idx="49">
                  <c:v>111.3</c:v>
                </c:pt>
                <c:pt idx="50">
                  <c:v>111.1</c:v>
                </c:pt>
                <c:pt idx="51">
                  <c:v>113.4</c:v>
                </c:pt>
                <c:pt idx="52">
                  <c:v>113.2</c:v>
                </c:pt>
                <c:pt idx="53">
                  <c:v>113.3</c:v>
                </c:pt>
                <c:pt idx="54">
                  <c:v>116.6</c:v>
                </c:pt>
                <c:pt idx="55">
                  <c:v>116.6</c:v>
                </c:pt>
                <c:pt idx="56">
                  <c:v>117.1</c:v>
                </c:pt>
                <c:pt idx="57">
                  <c:v>117.2</c:v>
                </c:pt>
                <c:pt idx="58">
                  <c:v>117.2</c:v>
                </c:pt>
                <c:pt idx="59">
                  <c:v>117.4</c:v>
                </c:pt>
                <c:pt idx="60">
                  <c:v>119.3</c:v>
                </c:pt>
                <c:pt idx="61">
                  <c:v>119</c:v>
                </c:pt>
                <c:pt idx="62">
                  <c:v>119.4</c:v>
                </c:pt>
                <c:pt idx="63">
                  <c:v>122.6</c:v>
                </c:pt>
                <c:pt idx="64">
                  <c:v>122.2</c:v>
                </c:pt>
                <c:pt idx="65">
                  <c:v>122.3</c:v>
                </c:pt>
                <c:pt idx="66">
                  <c:v>122.9</c:v>
                </c:pt>
                <c:pt idx="67">
                  <c:v>122.8</c:v>
                </c:pt>
                <c:pt idx="68">
                  <c:v>123.5</c:v>
                </c:pt>
                <c:pt idx="69">
                  <c:v>123.3</c:v>
                </c:pt>
                <c:pt idx="70">
                  <c:v>123</c:v>
                </c:pt>
                <c:pt idx="71">
                  <c:v>124.2</c:v>
                </c:pt>
                <c:pt idx="72">
                  <c:v>124</c:v>
                </c:pt>
                <c:pt idx="73">
                  <c:v>124.1</c:v>
                </c:pt>
                <c:pt idx="74">
                  <c:v>124.5</c:v>
                </c:pt>
                <c:pt idx="75">
                  <c:v>125</c:v>
                </c:pt>
                <c:pt idx="76">
                  <c:v>124.9</c:v>
                </c:pt>
                <c:pt idx="77">
                  <c:v>125</c:v>
                </c:pt>
                <c:pt idx="78">
                  <c:v>125</c:v>
                </c:pt>
                <c:pt idx="79">
                  <c:v>125.4</c:v>
                </c:pt>
                <c:pt idx="80">
                  <c:v>125.3</c:v>
                </c:pt>
                <c:pt idx="81">
                  <c:v>125</c:v>
                </c:pt>
                <c:pt idx="82">
                  <c:v>124.8</c:v>
                </c:pt>
                <c:pt idx="83">
                  <c:v>124.9</c:v>
                </c:pt>
                <c:pt idx="84">
                  <c:v>124.3</c:v>
                </c:pt>
                <c:pt idx="85">
                  <c:v>124.8</c:v>
                </c:pt>
                <c:pt idx="86">
                  <c:v>124.5</c:v>
                </c:pt>
                <c:pt idx="87">
                  <c:v>126.2</c:v>
                </c:pt>
                <c:pt idx="88">
                  <c:v>126.4</c:v>
                </c:pt>
                <c:pt idx="89">
                  <c:v>126</c:v>
                </c:pt>
                <c:pt idx="90">
                  <c:v>125.5</c:v>
                </c:pt>
                <c:pt idx="91">
                  <c:v>128.4</c:v>
                </c:pt>
                <c:pt idx="92">
                  <c:v>126.8</c:v>
                </c:pt>
                <c:pt idx="93">
                  <c:v>126.7</c:v>
                </c:pt>
                <c:pt idx="94">
                  <c:v>126.2</c:v>
                </c:pt>
                <c:pt idx="95">
                  <c:v>125.5</c:v>
                </c:pt>
                <c:pt idx="96">
                  <c:v>127.6</c:v>
                </c:pt>
                <c:pt idx="97">
                  <c:v>125.9</c:v>
                </c:pt>
                <c:pt idx="98">
                  <c:v>126.5</c:v>
                </c:pt>
                <c:pt idx="99">
                  <c:v>128.1</c:v>
                </c:pt>
                <c:pt idx="100">
                  <c:v>127.8</c:v>
                </c:pt>
              </c:numCache>
            </c:numRef>
          </c:val>
          <c:smooth val="0"/>
          <c:extLst>
            <c:ext xmlns:c16="http://schemas.microsoft.com/office/drawing/2014/chart" uri="{C3380CC4-5D6E-409C-BE32-E72D297353CC}">
              <c16:uniqueId val="{00000000-7A83-4D51-8F47-ECBFA0AF0B26}"/>
            </c:ext>
          </c:extLst>
        </c:ser>
        <c:dLbls>
          <c:showLegendKey val="0"/>
          <c:showVal val="0"/>
          <c:showCatName val="0"/>
          <c:showSerName val="0"/>
          <c:showPercent val="0"/>
          <c:showBubbleSize val="0"/>
        </c:dLbls>
        <c:smooth val="0"/>
        <c:axId val="400790288"/>
        <c:axId val="400794880"/>
      </c:lineChart>
      <c:dateAx>
        <c:axId val="400790288"/>
        <c:scaling>
          <c:orientation val="minMax"/>
        </c:scaling>
        <c:delete val="0"/>
        <c:axPos val="b"/>
        <c:numFmt formatCode="[$-40C]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4880"/>
        <c:crosses val="autoZero"/>
        <c:auto val="1"/>
        <c:lblOffset val="100"/>
        <c:baseTimeUnit val="months"/>
        <c:majorUnit val="4"/>
        <c:majorTimeUnit val="months"/>
      </c:dateAx>
      <c:valAx>
        <c:axId val="400794880"/>
        <c:scaling>
          <c:orientation val="minMax"/>
          <c:min val="100"/>
        </c:scaling>
        <c:delete val="0"/>
        <c:axPos val="l"/>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0288"/>
        <c:crossesAt val="43101"/>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b="1">
          <a:solidFill>
            <a:sysClr val="windowText" lastClr="000000"/>
          </a:solidFill>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3144939196852446"/>
          <c:y val="6.8321909401612563E-2"/>
          <c:w val="0.58967847769028869"/>
          <c:h val="0.86815272191695458"/>
        </c:manualLayout>
      </c:layout>
      <c:barChart>
        <c:barDir val="bar"/>
        <c:grouping val="clustered"/>
        <c:varyColors val="0"/>
        <c:ser>
          <c:idx val="0"/>
          <c:order val="0"/>
          <c:spPr>
            <a:solidFill>
              <a:schemeClr val="accent6"/>
            </a:solidFill>
            <a:ln w="19050">
              <a:solidFill>
                <a:schemeClr val="lt1"/>
              </a:solidFill>
            </a:ln>
            <a:effectLst/>
          </c:spPr>
          <c:invertIfNegative val="0"/>
          <c:dLbls>
            <c:numFmt formatCode="0%" sourceLinked="0"/>
            <c:spPr>
              <a:noFill/>
              <a:ln>
                <a:noFill/>
              </a:ln>
              <a:effectLst/>
            </c:spPr>
            <c:txPr>
              <a:bodyPr rot="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'DONNEES CUMULS DEPUIS JANVIER'!$B$5:$B$11</c:f>
              <c:strCache>
                <c:ptCount val="7"/>
                <c:pt idx="0">
                  <c:v>Matériel</c:v>
                </c:pt>
                <c:pt idx="1">
                  <c:v>Travail</c:v>
                </c:pt>
                <c:pt idx="2">
                  <c:v>Energie</c:v>
                </c:pt>
                <c:pt idx="3">
                  <c:v>Matériaux</c:v>
                </c:pt>
                <c:pt idx="4">
                  <c:v>Frais divers</c:v>
                </c:pt>
                <c:pt idx="5">
                  <c:v>Transport</c:v>
                </c:pt>
                <c:pt idx="6">
                  <c:v>Déchets</c:v>
                </c:pt>
              </c:strCache>
            </c:strRef>
          </c:cat>
          <c:val>
            <c:numRef>
              <c:f>'DONNEES CUMULS DEPUIS JANVIER'!$C$5:$C$11</c:f>
              <c:numCache>
                <c:formatCode>General</c:formatCode>
                <c:ptCount val="7"/>
                <c:pt idx="0">
                  <c:v>0.21</c:v>
                </c:pt>
                <c:pt idx="1">
                  <c:v>0.5</c:v>
                </c:pt>
                <c:pt idx="2">
                  <c:v>0.02</c:v>
                </c:pt>
                <c:pt idx="3">
                  <c:v>0.24</c:v>
                </c:pt>
                <c:pt idx="4">
                  <c:v>0.01</c:v>
                </c:pt>
                <c:pt idx="5">
                  <c:v>0.01</c:v>
                </c:pt>
                <c:pt idx="6">
                  <c:v>0.01</c:v>
                </c:pt>
              </c:numCache>
            </c:numRef>
          </c:val>
          <c:extLst>
            <c:ext xmlns:c16="http://schemas.microsoft.com/office/drawing/2014/chart" uri="{C3380CC4-5D6E-409C-BE32-E72D297353CC}">
              <c16:uniqueId val="{00000000-299F-4E5A-BB5D-B3176AB57725}"/>
            </c:ext>
          </c:extLst>
        </c:ser>
        <c:dLbls>
          <c:showLegendKey val="0"/>
          <c:showVal val="0"/>
          <c:showCatName val="0"/>
          <c:showSerName val="0"/>
          <c:showPercent val="0"/>
          <c:showBubbleSize val="0"/>
        </c:dLbls>
        <c:gapWidth val="50"/>
        <c:axId val="707804624"/>
        <c:axId val="707809216"/>
      </c:barChart>
      <c:valAx>
        <c:axId val="707809216"/>
        <c:scaling>
          <c:orientation val="minMax"/>
        </c:scaling>
        <c:delete val="1"/>
        <c:axPos val="t"/>
        <c:numFmt formatCode="General" sourceLinked="1"/>
        <c:majorTickMark val="out"/>
        <c:minorTickMark val="none"/>
        <c:tickLblPos val="nextTo"/>
        <c:crossAx val="707804624"/>
        <c:crosses val="autoZero"/>
        <c:crossBetween val="between"/>
      </c:valAx>
      <c:catAx>
        <c:axId val="707804624"/>
        <c:scaling>
          <c:orientation val="maxMin"/>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707809216"/>
        <c:crosses val="autoZero"/>
        <c:auto val="1"/>
        <c:lblAlgn val="ctr"/>
        <c:lblOffset val="100"/>
        <c:noMultiLvlLbl val="0"/>
      </c:cat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800" b="1">
          <a:solidFill>
            <a:sysClr val="windowText" lastClr="000000"/>
          </a:solidFill>
        </a:defRPr>
      </a:pPr>
      <a:endParaRPr lang="fr-FR"/>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ysClr val="windowText" lastClr="000000"/>
                </a:solidFill>
                <a:latin typeface="+mn-lt"/>
                <a:ea typeface="+mn-ea"/>
                <a:cs typeface="+mn-cs"/>
              </a:defRPr>
            </a:pPr>
            <a:r>
              <a:rPr lang="fr-FR" sz="1000"/>
              <a:t>Travail</a:t>
            </a:r>
          </a:p>
        </c:rich>
      </c:tx>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mn-lt"/>
              <a:ea typeface="+mn-ea"/>
              <a:cs typeface="+mn-cs"/>
            </a:defRPr>
          </a:pPr>
          <a:endParaRPr lang="fr-FR"/>
        </a:p>
      </c:txPr>
    </c:title>
    <c:autoTitleDeleted val="0"/>
    <c:plotArea>
      <c:layout>
        <c:manualLayout>
          <c:layoutTarget val="inner"/>
          <c:xMode val="edge"/>
          <c:yMode val="edge"/>
          <c:x val="0.11127149976689628"/>
          <c:y val="0.2025455160616513"/>
          <c:w val="0.82733704138609043"/>
          <c:h val="0.54069856287663864"/>
        </c:manualLayout>
      </c:layout>
      <c:lineChart>
        <c:grouping val="standard"/>
        <c:varyColors val="0"/>
        <c:ser>
          <c:idx val="1"/>
          <c:order val="0"/>
          <c:tx>
            <c:strRef>
              <c:f>'DONNEES DATE A DATE'!$E$14</c:f>
              <c:strCache>
                <c:ptCount val="1"/>
                <c:pt idx="0">
                  <c:v>Travail</c:v>
                </c:pt>
              </c:strCache>
            </c:strRef>
          </c:tx>
          <c:spPr>
            <a:ln w="28575" cap="rnd">
              <a:solidFill>
                <a:schemeClr val="accent2"/>
              </a:solidFill>
              <a:round/>
            </a:ln>
            <a:effectLst/>
          </c:spPr>
          <c:marker>
            <c:symbol val="none"/>
          </c:marker>
          <c:cat>
            <c:numRef>
              <c:f>'DONNEES DATE A DATE'!$A$16:$A$116</c:f>
              <c:numCache>
                <c:formatCode>[$-40C]mmm\-yy;@</c:formatCode>
                <c:ptCount val="101"/>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pt idx="95">
                  <c:v>45992</c:v>
                </c:pt>
                <c:pt idx="96">
                  <c:v>46023</c:v>
                </c:pt>
                <c:pt idx="97">
                  <c:v>46054</c:v>
                </c:pt>
                <c:pt idx="98">
                  <c:v>46082</c:v>
                </c:pt>
                <c:pt idx="99">
                  <c:v>46113</c:v>
                </c:pt>
                <c:pt idx="100">
                  <c:v>46143</c:v>
                </c:pt>
              </c:numCache>
            </c:numRef>
          </c:cat>
          <c:val>
            <c:numRef>
              <c:f>'DONNEES DATE A DATE'!$E$16:$E$116</c:f>
              <c:numCache>
                <c:formatCode>0.0</c:formatCode>
                <c:ptCount val="101"/>
                <c:pt idx="0">
                  <c:v>117.8</c:v>
                </c:pt>
                <c:pt idx="1">
                  <c:v>117.8</c:v>
                </c:pt>
                <c:pt idx="2">
                  <c:v>117.7</c:v>
                </c:pt>
                <c:pt idx="3">
                  <c:v>118</c:v>
                </c:pt>
                <c:pt idx="4">
                  <c:v>118.2</c:v>
                </c:pt>
                <c:pt idx="5">
                  <c:v>118.4</c:v>
                </c:pt>
                <c:pt idx="6">
                  <c:v>118.7</c:v>
                </c:pt>
                <c:pt idx="7">
                  <c:v>119.1</c:v>
                </c:pt>
                <c:pt idx="8">
                  <c:v>119.5</c:v>
                </c:pt>
                <c:pt idx="9">
                  <c:v>119.7</c:v>
                </c:pt>
                <c:pt idx="10">
                  <c:v>120</c:v>
                </c:pt>
                <c:pt idx="11">
                  <c:v>120.2</c:v>
                </c:pt>
                <c:pt idx="12">
                  <c:v>120.8</c:v>
                </c:pt>
                <c:pt idx="13">
                  <c:v>121.4</c:v>
                </c:pt>
                <c:pt idx="14">
                  <c:v>122</c:v>
                </c:pt>
                <c:pt idx="15">
                  <c:v>122.3</c:v>
                </c:pt>
                <c:pt idx="16">
                  <c:v>122.5</c:v>
                </c:pt>
                <c:pt idx="17">
                  <c:v>122.7</c:v>
                </c:pt>
                <c:pt idx="18">
                  <c:v>122.9</c:v>
                </c:pt>
                <c:pt idx="19">
                  <c:v>123.1</c:v>
                </c:pt>
                <c:pt idx="20">
                  <c:v>123.3</c:v>
                </c:pt>
                <c:pt idx="21">
                  <c:v>123.5</c:v>
                </c:pt>
                <c:pt idx="22">
                  <c:v>123.7</c:v>
                </c:pt>
                <c:pt idx="23">
                  <c:v>123.9</c:v>
                </c:pt>
                <c:pt idx="24">
                  <c:v>123.7</c:v>
                </c:pt>
                <c:pt idx="25">
                  <c:v>123.5</c:v>
                </c:pt>
                <c:pt idx="26">
                  <c:v>123.3</c:v>
                </c:pt>
                <c:pt idx="27">
                  <c:v>123.6</c:v>
                </c:pt>
                <c:pt idx="28">
                  <c:v>123.8</c:v>
                </c:pt>
                <c:pt idx="29">
                  <c:v>124</c:v>
                </c:pt>
                <c:pt idx="30">
                  <c:v>123.8</c:v>
                </c:pt>
                <c:pt idx="31">
                  <c:v>123.7</c:v>
                </c:pt>
                <c:pt idx="32">
                  <c:v>123.6</c:v>
                </c:pt>
                <c:pt idx="33">
                  <c:v>123.5</c:v>
                </c:pt>
                <c:pt idx="34">
                  <c:v>123.5</c:v>
                </c:pt>
                <c:pt idx="35">
                  <c:v>123.4</c:v>
                </c:pt>
                <c:pt idx="36">
                  <c:v>123.4</c:v>
                </c:pt>
                <c:pt idx="37">
                  <c:v>123.3</c:v>
                </c:pt>
                <c:pt idx="38">
                  <c:v>123.3</c:v>
                </c:pt>
                <c:pt idx="39">
                  <c:v>123</c:v>
                </c:pt>
                <c:pt idx="40">
                  <c:v>122.7</c:v>
                </c:pt>
                <c:pt idx="41">
                  <c:v>122.5</c:v>
                </c:pt>
                <c:pt idx="42">
                  <c:v>122.5</c:v>
                </c:pt>
                <c:pt idx="43">
                  <c:v>122.6</c:v>
                </c:pt>
                <c:pt idx="44">
                  <c:v>122.7</c:v>
                </c:pt>
                <c:pt idx="45">
                  <c:v>122.6</c:v>
                </c:pt>
                <c:pt idx="46">
                  <c:v>122.5</c:v>
                </c:pt>
                <c:pt idx="47">
                  <c:v>122.4</c:v>
                </c:pt>
                <c:pt idx="48">
                  <c:v>122.6</c:v>
                </c:pt>
                <c:pt idx="49">
                  <c:v>122.8</c:v>
                </c:pt>
                <c:pt idx="50">
                  <c:v>123</c:v>
                </c:pt>
                <c:pt idx="51">
                  <c:v>123.2</c:v>
                </c:pt>
                <c:pt idx="52">
                  <c:v>123.5</c:v>
                </c:pt>
                <c:pt idx="53">
                  <c:v>123.7</c:v>
                </c:pt>
                <c:pt idx="54">
                  <c:v>124.4</c:v>
                </c:pt>
                <c:pt idx="55">
                  <c:v>125.2</c:v>
                </c:pt>
                <c:pt idx="56">
                  <c:v>125.9</c:v>
                </c:pt>
                <c:pt idx="57">
                  <c:v>126.6</c:v>
                </c:pt>
                <c:pt idx="58">
                  <c:v>127.2</c:v>
                </c:pt>
                <c:pt idx="59">
                  <c:v>127.9</c:v>
                </c:pt>
                <c:pt idx="60">
                  <c:v>128.6</c:v>
                </c:pt>
                <c:pt idx="61">
                  <c:v>129.30000000000001</c:v>
                </c:pt>
                <c:pt idx="62">
                  <c:v>130</c:v>
                </c:pt>
                <c:pt idx="63">
                  <c:v>130.4</c:v>
                </c:pt>
                <c:pt idx="64">
                  <c:v>130.9</c:v>
                </c:pt>
                <c:pt idx="65">
                  <c:v>131.4</c:v>
                </c:pt>
                <c:pt idx="66">
                  <c:v>131.5</c:v>
                </c:pt>
                <c:pt idx="67">
                  <c:v>131.6</c:v>
                </c:pt>
                <c:pt idx="68">
                  <c:v>131.69999999999999</c:v>
                </c:pt>
                <c:pt idx="69">
                  <c:v>131.9</c:v>
                </c:pt>
                <c:pt idx="70">
                  <c:v>132.1</c:v>
                </c:pt>
                <c:pt idx="71">
                  <c:v>132.30000000000001</c:v>
                </c:pt>
                <c:pt idx="72">
                  <c:v>132.5</c:v>
                </c:pt>
                <c:pt idx="73">
                  <c:v>132.69999999999999</c:v>
                </c:pt>
                <c:pt idx="74">
                  <c:v>132.9</c:v>
                </c:pt>
                <c:pt idx="75">
                  <c:v>133.30000000000001</c:v>
                </c:pt>
                <c:pt idx="76">
                  <c:v>133.69999999999999</c:v>
                </c:pt>
                <c:pt idx="77">
                  <c:v>134</c:v>
                </c:pt>
                <c:pt idx="78">
                  <c:v>134.6</c:v>
                </c:pt>
                <c:pt idx="79">
                  <c:v>135.1</c:v>
                </c:pt>
                <c:pt idx="80">
                  <c:v>135.69999999999999</c:v>
                </c:pt>
                <c:pt idx="81">
                  <c:v>136.1</c:v>
                </c:pt>
                <c:pt idx="82">
                  <c:v>136.5</c:v>
                </c:pt>
                <c:pt idx="83">
                  <c:v>136.9</c:v>
                </c:pt>
                <c:pt idx="84">
                  <c:v>137.19999999999999</c:v>
                </c:pt>
                <c:pt idx="85">
                  <c:v>137.4</c:v>
                </c:pt>
                <c:pt idx="86">
                  <c:v>137.6</c:v>
                </c:pt>
                <c:pt idx="87">
                  <c:v>138</c:v>
                </c:pt>
                <c:pt idx="88">
                  <c:v>138.4</c:v>
                </c:pt>
                <c:pt idx="89">
                  <c:v>138.69999999999999</c:v>
                </c:pt>
                <c:pt idx="90">
                  <c:v>139</c:v>
                </c:pt>
                <c:pt idx="91">
                  <c:v>139.30000000000001</c:v>
                </c:pt>
                <c:pt idx="92">
                  <c:v>139.69999999999999</c:v>
                </c:pt>
                <c:pt idx="93">
                  <c:v>140.4</c:v>
                </c:pt>
                <c:pt idx="94">
                  <c:v>141.1</c:v>
                </c:pt>
                <c:pt idx="95">
                  <c:v>141.80000000000001</c:v>
                </c:pt>
                <c:pt idx="96">
                  <c:v>142.19999999999999</c:v>
                </c:pt>
                <c:pt idx="97">
                  <c:v>142.6</c:v>
                </c:pt>
                <c:pt idx="98">
                  <c:v>143</c:v>
                </c:pt>
                <c:pt idx="99">
                  <c:v>143</c:v>
                </c:pt>
                <c:pt idx="100">
                  <c:v>143</c:v>
                </c:pt>
              </c:numCache>
            </c:numRef>
          </c:val>
          <c:smooth val="0"/>
          <c:extLst>
            <c:ext xmlns:c16="http://schemas.microsoft.com/office/drawing/2014/chart" uri="{C3380CC4-5D6E-409C-BE32-E72D297353CC}">
              <c16:uniqueId val="{00000000-581B-4209-B812-5E5A5FA6B12C}"/>
            </c:ext>
          </c:extLst>
        </c:ser>
        <c:dLbls>
          <c:showLegendKey val="0"/>
          <c:showVal val="0"/>
          <c:showCatName val="0"/>
          <c:showSerName val="0"/>
          <c:showPercent val="0"/>
          <c:showBubbleSize val="0"/>
        </c:dLbls>
        <c:smooth val="0"/>
        <c:axId val="400790288"/>
        <c:axId val="400794880"/>
      </c:lineChart>
      <c:dateAx>
        <c:axId val="400790288"/>
        <c:scaling>
          <c:orientation val="minMax"/>
        </c:scaling>
        <c:delete val="0"/>
        <c:axPos val="b"/>
        <c:numFmt formatCode="[$-40C]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4880"/>
        <c:crosses val="autoZero"/>
        <c:auto val="1"/>
        <c:lblOffset val="100"/>
        <c:baseTimeUnit val="months"/>
        <c:majorUnit val="4"/>
        <c:majorTimeUnit val="months"/>
      </c:dateAx>
      <c:valAx>
        <c:axId val="400794880"/>
        <c:scaling>
          <c:orientation val="minMax"/>
          <c:min val="110"/>
        </c:scaling>
        <c:delete val="0"/>
        <c:axPos val="l"/>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0288"/>
        <c:crossesAt val="43101"/>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b="1">
          <a:solidFill>
            <a:sysClr val="windowText" lastClr="000000"/>
          </a:solidFill>
        </a:defRPr>
      </a:pPr>
      <a:endParaRPr lang="fr-FR"/>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ysClr val="windowText" lastClr="000000"/>
                </a:solidFill>
                <a:latin typeface="+mn-lt"/>
                <a:ea typeface="+mn-ea"/>
                <a:cs typeface="+mn-cs"/>
              </a:defRPr>
            </a:pPr>
            <a:r>
              <a:rPr lang="fr-FR" sz="900"/>
              <a:t>GNR pour les Travaux Publics</a:t>
            </a:r>
          </a:p>
        </c:rich>
      </c:tx>
      <c:overlay val="0"/>
      <c:spPr>
        <a:noFill/>
        <a:ln>
          <a:noFill/>
        </a:ln>
        <a:effectLst/>
      </c:spPr>
      <c:txPr>
        <a:bodyPr rot="0" spcFirstLastPara="1" vertOverflow="ellipsis" vert="horz" wrap="square" anchor="ctr" anchorCtr="1"/>
        <a:lstStyle/>
        <a:p>
          <a:pPr>
            <a:defRPr sz="900" b="1" i="0" u="none" strike="noStrike" kern="1200" spc="0" baseline="0">
              <a:solidFill>
                <a:sysClr val="windowText" lastClr="000000"/>
              </a:solidFill>
              <a:latin typeface="+mn-lt"/>
              <a:ea typeface="+mn-ea"/>
              <a:cs typeface="+mn-cs"/>
            </a:defRPr>
          </a:pPr>
          <a:endParaRPr lang="fr-FR"/>
        </a:p>
      </c:txPr>
    </c:title>
    <c:autoTitleDeleted val="0"/>
    <c:plotArea>
      <c:layout>
        <c:manualLayout>
          <c:layoutTarget val="inner"/>
          <c:xMode val="edge"/>
          <c:yMode val="edge"/>
          <c:x val="0.11995002370336881"/>
          <c:y val="0.20111754114371899"/>
          <c:w val="0.83969123007880253"/>
          <c:h val="0.5486173328760815"/>
        </c:manualLayout>
      </c:layout>
      <c:lineChart>
        <c:grouping val="standard"/>
        <c:varyColors val="0"/>
        <c:ser>
          <c:idx val="1"/>
          <c:order val="0"/>
          <c:tx>
            <c:strRef>
              <c:f>'DONNEES DATE A DATE'!$F$14</c:f>
              <c:strCache>
                <c:ptCount val="1"/>
                <c:pt idx="0">
                  <c:v>GNR pour les Travaux Publics</c:v>
                </c:pt>
              </c:strCache>
            </c:strRef>
          </c:tx>
          <c:spPr>
            <a:ln w="28575" cap="rnd">
              <a:solidFill>
                <a:schemeClr val="accent2"/>
              </a:solidFill>
              <a:round/>
            </a:ln>
            <a:effectLst/>
          </c:spPr>
          <c:marker>
            <c:symbol val="none"/>
          </c:marker>
          <c:cat>
            <c:numRef>
              <c:f>'DONNEES DATE A DATE'!$A$16:$A$116</c:f>
              <c:numCache>
                <c:formatCode>[$-40C]mmm\-yy;@</c:formatCode>
                <c:ptCount val="101"/>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pt idx="95">
                  <c:v>45992</c:v>
                </c:pt>
                <c:pt idx="96">
                  <c:v>46023</c:v>
                </c:pt>
                <c:pt idx="97">
                  <c:v>46054</c:v>
                </c:pt>
                <c:pt idx="98">
                  <c:v>46082</c:v>
                </c:pt>
                <c:pt idx="99">
                  <c:v>46113</c:v>
                </c:pt>
                <c:pt idx="100">
                  <c:v>46143</c:v>
                </c:pt>
              </c:numCache>
            </c:numRef>
          </c:cat>
          <c:val>
            <c:numRef>
              <c:f>'DONNEES DATE A DATE'!$F$16:$F$116</c:f>
              <c:numCache>
                <c:formatCode>0.0</c:formatCode>
                <c:ptCount val="101"/>
                <c:pt idx="0">
                  <c:v>102.68819713409906</c:v>
                </c:pt>
                <c:pt idx="1">
                  <c:v>105.33935540778492</c:v>
                </c:pt>
                <c:pt idx="2">
                  <c:v>104.26263286528626</c:v>
                </c:pt>
                <c:pt idx="3">
                  <c:v>99.677793960786715</c:v>
                </c:pt>
                <c:pt idx="4">
                  <c:v>96.60957457288562</c:v>
                </c:pt>
                <c:pt idx="5">
                  <c:v>97.6111092375168</c:v>
                </c:pt>
                <c:pt idx="6">
                  <c:v>97.6111092375168</c:v>
                </c:pt>
                <c:pt idx="7">
                  <c:v>96.838869449245308</c:v>
                </c:pt>
                <c:pt idx="8">
                  <c:v>95.108260282708713</c:v>
                </c:pt>
                <c:pt idx="9">
                  <c:v>92.171935981811814</c:v>
                </c:pt>
                <c:pt idx="10">
                  <c:v>97.300740050752083</c:v>
                </c:pt>
                <c:pt idx="11">
                  <c:v>103.64464943594083</c:v>
                </c:pt>
                <c:pt idx="12">
                  <c:v>97.6</c:v>
                </c:pt>
                <c:pt idx="13">
                  <c:v>101.1</c:v>
                </c:pt>
                <c:pt idx="14">
                  <c:v>103.1</c:v>
                </c:pt>
                <c:pt idx="15">
                  <c:v>103.6</c:v>
                </c:pt>
                <c:pt idx="16">
                  <c:v>103.5</c:v>
                </c:pt>
                <c:pt idx="17">
                  <c:v>96.5</c:v>
                </c:pt>
                <c:pt idx="18">
                  <c:v>97.7</c:v>
                </c:pt>
                <c:pt idx="19">
                  <c:v>96.4</c:v>
                </c:pt>
                <c:pt idx="20">
                  <c:v>100.6</c:v>
                </c:pt>
                <c:pt idx="21">
                  <c:v>100.2</c:v>
                </c:pt>
                <c:pt idx="22">
                  <c:v>100</c:v>
                </c:pt>
                <c:pt idx="23">
                  <c:v>102.2</c:v>
                </c:pt>
                <c:pt idx="24">
                  <c:v>101.2</c:v>
                </c:pt>
                <c:pt idx="25">
                  <c:v>94.6</c:v>
                </c:pt>
                <c:pt idx="26">
                  <c:v>81.5</c:v>
                </c:pt>
                <c:pt idx="27">
                  <c:v>70.3</c:v>
                </c:pt>
                <c:pt idx="28">
                  <c:v>72.900000000000006</c:v>
                </c:pt>
                <c:pt idx="29">
                  <c:v>77.5</c:v>
                </c:pt>
                <c:pt idx="30">
                  <c:v>78.8</c:v>
                </c:pt>
                <c:pt idx="31">
                  <c:v>77.8</c:v>
                </c:pt>
                <c:pt idx="32">
                  <c:v>73.8</c:v>
                </c:pt>
                <c:pt idx="33">
                  <c:v>75.099999999999994</c:v>
                </c:pt>
                <c:pt idx="34">
                  <c:v>77.400000000000006</c:v>
                </c:pt>
                <c:pt idx="35">
                  <c:v>81.2</c:v>
                </c:pt>
                <c:pt idx="36">
                  <c:v>86.4</c:v>
                </c:pt>
                <c:pt idx="37">
                  <c:v>92.3</c:v>
                </c:pt>
                <c:pt idx="38">
                  <c:v>94.9</c:v>
                </c:pt>
                <c:pt idx="39">
                  <c:v>92.2</c:v>
                </c:pt>
                <c:pt idx="40">
                  <c:v>95.3</c:v>
                </c:pt>
                <c:pt idx="41">
                  <c:v>97.5</c:v>
                </c:pt>
                <c:pt idx="42">
                  <c:v>99.5</c:v>
                </c:pt>
                <c:pt idx="43">
                  <c:v>98.2</c:v>
                </c:pt>
                <c:pt idx="44">
                  <c:v>101.9</c:v>
                </c:pt>
                <c:pt idx="45">
                  <c:v>113.9</c:v>
                </c:pt>
                <c:pt idx="46">
                  <c:v>115.4</c:v>
                </c:pt>
                <c:pt idx="47">
                  <c:v>112.6</c:v>
                </c:pt>
                <c:pt idx="48">
                  <c:v>122.5</c:v>
                </c:pt>
                <c:pt idx="49">
                  <c:v>131.4</c:v>
                </c:pt>
                <c:pt idx="50">
                  <c:v>176.2</c:v>
                </c:pt>
                <c:pt idx="51">
                  <c:v>147.69999999999999</c:v>
                </c:pt>
                <c:pt idx="52">
                  <c:v>148.19999999999999</c:v>
                </c:pt>
                <c:pt idx="53">
                  <c:v>172.7</c:v>
                </c:pt>
                <c:pt idx="54">
                  <c:v>156</c:v>
                </c:pt>
                <c:pt idx="55">
                  <c:v>148.5</c:v>
                </c:pt>
                <c:pt idx="56">
                  <c:v>137.4</c:v>
                </c:pt>
                <c:pt idx="57">
                  <c:v>163.5</c:v>
                </c:pt>
                <c:pt idx="58">
                  <c:v>152.1</c:v>
                </c:pt>
                <c:pt idx="59">
                  <c:v>140.4</c:v>
                </c:pt>
                <c:pt idx="60">
                  <c:v>150.5</c:v>
                </c:pt>
                <c:pt idx="61">
                  <c:v>140.5</c:v>
                </c:pt>
                <c:pt idx="62">
                  <c:v>138.6</c:v>
                </c:pt>
                <c:pt idx="63">
                  <c:v>130.80000000000001</c:v>
                </c:pt>
                <c:pt idx="64">
                  <c:v>122.4</c:v>
                </c:pt>
                <c:pt idx="65">
                  <c:v>124.3</c:v>
                </c:pt>
                <c:pt idx="66">
                  <c:v>129.1</c:v>
                </c:pt>
                <c:pt idx="67">
                  <c:v>143.19999999999999</c:v>
                </c:pt>
                <c:pt idx="68">
                  <c:v>151.1</c:v>
                </c:pt>
                <c:pt idx="69">
                  <c:v>146.5</c:v>
                </c:pt>
                <c:pt idx="70">
                  <c:v>139.4</c:v>
                </c:pt>
                <c:pt idx="71">
                  <c:v>132</c:v>
                </c:pt>
                <c:pt idx="72">
                  <c:v>146.30000000000001</c:v>
                </c:pt>
                <c:pt idx="73">
                  <c:v>152.9</c:v>
                </c:pt>
                <c:pt idx="74">
                  <c:v>149.80000000000001</c:v>
                </c:pt>
                <c:pt idx="75">
                  <c:v>147.9</c:v>
                </c:pt>
                <c:pt idx="76">
                  <c:v>141.19999999999999</c:v>
                </c:pt>
                <c:pt idx="77">
                  <c:v>142.19999999999999</c:v>
                </c:pt>
                <c:pt idx="78">
                  <c:v>140</c:v>
                </c:pt>
                <c:pt idx="79">
                  <c:v>131.69999999999999</c:v>
                </c:pt>
                <c:pt idx="80">
                  <c:v>129.1</c:v>
                </c:pt>
                <c:pt idx="81">
                  <c:v>132.19999999999999</c:v>
                </c:pt>
                <c:pt idx="82">
                  <c:v>133.80000000000001</c:v>
                </c:pt>
                <c:pt idx="83">
                  <c:v>135.5</c:v>
                </c:pt>
                <c:pt idx="84">
                  <c:v>157.1</c:v>
                </c:pt>
                <c:pt idx="85">
                  <c:v>155.6</c:v>
                </c:pt>
                <c:pt idx="86">
                  <c:v>145.69999999999999</c:v>
                </c:pt>
                <c:pt idx="87">
                  <c:v>141</c:v>
                </c:pt>
                <c:pt idx="88">
                  <c:v>140</c:v>
                </c:pt>
                <c:pt idx="89">
                  <c:v>143.9</c:v>
                </c:pt>
                <c:pt idx="90">
                  <c:v>147.30000000000001</c:v>
                </c:pt>
                <c:pt idx="91">
                  <c:v>143.30000000000001</c:v>
                </c:pt>
                <c:pt idx="92">
                  <c:v>145.1</c:v>
                </c:pt>
                <c:pt idx="93">
                  <c:v>143.4</c:v>
                </c:pt>
                <c:pt idx="94">
                  <c:v>149.6</c:v>
                </c:pt>
                <c:pt idx="95">
                  <c:v>136.69999999999999</c:v>
                </c:pt>
                <c:pt idx="96">
                  <c:v>159</c:v>
                </c:pt>
                <c:pt idx="97">
                  <c:v>162.4</c:v>
                </c:pt>
                <c:pt idx="98">
                  <c:v>224.3</c:v>
                </c:pt>
                <c:pt idx="99">
                  <c:v>230.3</c:v>
                </c:pt>
                <c:pt idx="100">
                  <c:v>212.8</c:v>
                </c:pt>
              </c:numCache>
            </c:numRef>
          </c:val>
          <c:smooth val="0"/>
          <c:extLst>
            <c:ext xmlns:c16="http://schemas.microsoft.com/office/drawing/2014/chart" uri="{C3380CC4-5D6E-409C-BE32-E72D297353CC}">
              <c16:uniqueId val="{00000000-0EFE-408C-9127-7DED16205144}"/>
            </c:ext>
          </c:extLst>
        </c:ser>
        <c:dLbls>
          <c:showLegendKey val="0"/>
          <c:showVal val="0"/>
          <c:showCatName val="0"/>
          <c:showSerName val="0"/>
          <c:showPercent val="0"/>
          <c:showBubbleSize val="0"/>
        </c:dLbls>
        <c:smooth val="0"/>
        <c:axId val="400790288"/>
        <c:axId val="400794880"/>
      </c:lineChart>
      <c:dateAx>
        <c:axId val="400790288"/>
        <c:scaling>
          <c:orientation val="minMax"/>
        </c:scaling>
        <c:delete val="0"/>
        <c:axPos val="b"/>
        <c:numFmt formatCode="[$-40C]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4880"/>
        <c:crosses val="autoZero"/>
        <c:auto val="1"/>
        <c:lblOffset val="100"/>
        <c:baseTimeUnit val="months"/>
        <c:majorUnit val="4"/>
        <c:majorTimeUnit val="months"/>
      </c:dateAx>
      <c:valAx>
        <c:axId val="400794880"/>
        <c:scaling>
          <c:orientation val="minMax"/>
          <c:min val="60"/>
        </c:scaling>
        <c:delete val="0"/>
        <c:axPos val="l"/>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0288"/>
        <c:crossesAt val="43101"/>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b="1">
          <a:solidFill>
            <a:sysClr val="windowText" lastClr="000000"/>
          </a:solidFill>
        </a:defRPr>
      </a:pPr>
      <a:endParaRPr lang="fr-FR"/>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9654603713965316E-2"/>
          <c:y val="7.3619618969725839E-2"/>
          <c:w val="0.92506633350335088"/>
          <c:h val="0.71819231952917173"/>
        </c:manualLayout>
      </c:layout>
      <c:barChart>
        <c:barDir val="col"/>
        <c:grouping val="clustered"/>
        <c:varyColors val="0"/>
        <c:ser>
          <c:idx val="0"/>
          <c:order val="0"/>
          <c:tx>
            <c:strRef>
              <c:f>'RESULTATS DATE A DATE'!$B$20</c:f>
              <c:strCache>
                <c:ptCount val="1"/>
                <c:pt idx="0">
                  <c:v>Evolution entre janv. 2018 et mai. 2026</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ysClr val="windowText" lastClr="000000"/>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'RESULTATS DATE A DATE'!$A$21:$A$26</c:f>
              <c:strCache>
                <c:ptCount val="6"/>
                <c:pt idx="0">
                  <c:v>Matériel</c:v>
                </c:pt>
                <c:pt idx="1">
                  <c:v>Travail</c:v>
                </c:pt>
                <c:pt idx="2">
                  <c:v>GNR pour les Travaux Publics</c:v>
                </c:pt>
                <c:pt idx="3">
                  <c:v>Gazole</c:v>
                </c:pt>
                <c:pt idx="4">
                  <c:v>Frais divers</c:v>
                </c:pt>
                <c:pt idx="5">
                  <c:v>Transport</c:v>
                </c:pt>
              </c:strCache>
            </c:strRef>
          </c:cat>
          <c:val>
            <c:numRef>
              <c:f>'RESULTATS DATE A DATE'!$B$21:$B$26</c:f>
              <c:numCache>
                <c:formatCode>\+0.0%;\-0.0%</c:formatCode>
                <c:ptCount val="6"/>
                <c:pt idx="0">
                  <c:v>0.2276657060518732</c:v>
                </c:pt>
                <c:pt idx="1">
                  <c:v>0.2139219015280136</c:v>
                </c:pt>
                <c:pt idx="2">
                  <c:v>1.0722926873680283</c:v>
                </c:pt>
                <c:pt idx="3">
                  <c:v>0.51815561959654155</c:v>
                </c:pt>
                <c:pt idx="4">
                  <c:v>0.1891625615763548</c:v>
                </c:pt>
                <c:pt idx="5">
                  <c:v>0.20069504778453506</c:v>
                </c:pt>
              </c:numCache>
            </c:numRef>
          </c:val>
          <c:extLst>
            <c:ext xmlns:c16="http://schemas.microsoft.com/office/drawing/2014/chart" uri="{C3380CC4-5D6E-409C-BE32-E72D297353CC}">
              <c16:uniqueId val="{00000000-8169-4592-A72A-F7C32B34E312}"/>
            </c:ext>
          </c:extLst>
        </c:ser>
        <c:dLbls>
          <c:showLegendKey val="0"/>
          <c:showVal val="0"/>
          <c:showCatName val="0"/>
          <c:showSerName val="0"/>
          <c:showPercent val="0"/>
          <c:showBubbleSize val="0"/>
        </c:dLbls>
        <c:gapWidth val="100"/>
        <c:overlap val="-27"/>
        <c:axId val="760814624"/>
        <c:axId val="760823480"/>
      </c:barChart>
      <c:catAx>
        <c:axId val="76081462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760823480"/>
        <c:crosses val="autoZero"/>
        <c:auto val="1"/>
        <c:lblAlgn val="ctr"/>
        <c:lblOffset val="100"/>
        <c:noMultiLvlLbl val="0"/>
      </c:catAx>
      <c:valAx>
        <c:axId val="760823480"/>
        <c:scaling>
          <c:orientation val="minMax"/>
        </c:scaling>
        <c:delete val="1"/>
        <c:axPos val="l"/>
        <c:numFmt formatCode="\+0.0%;\-0.0%" sourceLinked="1"/>
        <c:majorTickMark val="none"/>
        <c:minorTickMark val="none"/>
        <c:tickLblPos val="nextTo"/>
        <c:crossAx val="76081462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800" b="1">
          <a:solidFill>
            <a:sysClr val="windowText" lastClr="000000"/>
          </a:solidFill>
        </a:defRPr>
      </a:pPr>
      <a:endParaRPr lang="fr-FR"/>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mn-lt"/>
              <a:ea typeface="+mn-ea"/>
              <a:cs typeface="+mn-cs"/>
            </a:defRPr>
          </a:pPr>
          <a:endParaRPr lang="fr-FR"/>
        </a:p>
      </c:txPr>
    </c:title>
    <c:autoTitleDeleted val="0"/>
    <c:plotArea>
      <c:layout>
        <c:manualLayout>
          <c:layoutTarget val="inner"/>
          <c:xMode val="edge"/>
          <c:yMode val="edge"/>
          <c:x val="0.12289344549596916"/>
          <c:y val="0.29269931849649905"/>
          <c:w val="0.83259200841219783"/>
          <c:h val="0.45456210857141671"/>
        </c:manualLayout>
      </c:layout>
      <c:lineChart>
        <c:grouping val="standard"/>
        <c:varyColors val="0"/>
        <c:ser>
          <c:idx val="1"/>
          <c:order val="0"/>
          <c:tx>
            <c:strRef>
              <c:f>'DONNEES DATE A DATE'!$H$14</c:f>
              <c:strCache>
                <c:ptCount val="1"/>
                <c:pt idx="0">
                  <c:v>Barres crénelées ou nervurées pour béton armé</c:v>
                </c:pt>
              </c:strCache>
            </c:strRef>
          </c:tx>
          <c:spPr>
            <a:ln w="28575" cap="rnd">
              <a:solidFill>
                <a:schemeClr val="accent6"/>
              </a:solidFill>
              <a:round/>
            </a:ln>
            <a:effectLst/>
          </c:spPr>
          <c:marker>
            <c:symbol val="none"/>
          </c:marker>
          <c:cat>
            <c:numRef>
              <c:f>'DONNEES DATE A DATE'!$A$16:$A$116</c:f>
              <c:numCache>
                <c:formatCode>[$-40C]mmm\-yy;@</c:formatCode>
                <c:ptCount val="101"/>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pt idx="95">
                  <c:v>45992</c:v>
                </c:pt>
                <c:pt idx="96">
                  <c:v>46023</c:v>
                </c:pt>
                <c:pt idx="97">
                  <c:v>46054</c:v>
                </c:pt>
                <c:pt idx="98">
                  <c:v>46082</c:v>
                </c:pt>
                <c:pt idx="99">
                  <c:v>46113</c:v>
                </c:pt>
                <c:pt idx="100">
                  <c:v>46143</c:v>
                </c:pt>
              </c:numCache>
            </c:numRef>
          </c:cat>
          <c:val>
            <c:numRef>
              <c:f>'DONNEES DATE A DATE'!$H$16:$H$116</c:f>
              <c:numCache>
                <c:formatCode>0.0</c:formatCode>
                <c:ptCount val="101"/>
                <c:pt idx="0">
                  <c:v>75.234002472478949</c:v>
                </c:pt>
                <c:pt idx="1">
                  <c:v>75.646082298228052</c:v>
                </c:pt>
                <c:pt idx="2">
                  <c:v>76.705716135868613</c:v>
                </c:pt>
                <c:pt idx="3">
                  <c:v>77.17666450815328</c:v>
                </c:pt>
                <c:pt idx="4">
                  <c:v>76.646847589333007</c:v>
                </c:pt>
                <c:pt idx="5">
                  <c:v>75.351739565550119</c:v>
                </c:pt>
                <c:pt idx="6">
                  <c:v>74.23323718137398</c:v>
                </c:pt>
                <c:pt idx="7">
                  <c:v>75.351739565550119</c:v>
                </c:pt>
                <c:pt idx="8">
                  <c:v>75.999293577441563</c:v>
                </c:pt>
                <c:pt idx="9">
                  <c:v>75.234002472478949</c:v>
                </c:pt>
                <c:pt idx="10">
                  <c:v>74.527579914051913</c:v>
                </c:pt>
                <c:pt idx="11">
                  <c:v>73.880025902160469</c:v>
                </c:pt>
                <c:pt idx="12">
                  <c:v>73.350208983340195</c:v>
                </c:pt>
                <c:pt idx="13">
                  <c:v>72.879260611055514</c:v>
                </c:pt>
                <c:pt idx="14">
                  <c:v>72.938129157591092</c:v>
                </c:pt>
                <c:pt idx="15">
                  <c:v>72.879260611055514</c:v>
                </c:pt>
                <c:pt idx="16">
                  <c:v>72.408312238770819</c:v>
                </c:pt>
                <c:pt idx="17">
                  <c:v>71.819626773414967</c:v>
                </c:pt>
                <c:pt idx="18">
                  <c:v>70.936598575381169</c:v>
                </c:pt>
                <c:pt idx="19">
                  <c:v>70.524518749632065</c:v>
                </c:pt>
                <c:pt idx="20">
                  <c:v>69.641490551598281</c:v>
                </c:pt>
                <c:pt idx="21">
                  <c:v>67.169011597103662</c:v>
                </c:pt>
                <c:pt idx="22">
                  <c:v>65.520692294107249</c:v>
                </c:pt>
                <c:pt idx="23">
                  <c:v>65.461823747571671</c:v>
                </c:pt>
                <c:pt idx="24">
                  <c:v>66.285983399069863</c:v>
                </c:pt>
                <c:pt idx="25">
                  <c:v>66.815800317890151</c:v>
                </c:pt>
                <c:pt idx="26">
                  <c:v>66.109377759463115</c:v>
                </c:pt>
                <c:pt idx="27">
                  <c:v>65.991640666391945</c:v>
                </c:pt>
                <c:pt idx="28">
                  <c:v>65.520692294107249</c:v>
                </c:pt>
                <c:pt idx="29">
                  <c:v>64.578795549537887</c:v>
                </c:pt>
                <c:pt idx="30">
                  <c:v>63.578030258432918</c:v>
                </c:pt>
                <c:pt idx="31">
                  <c:v>63.2248189792194</c:v>
                </c:pt>
                <c:pt idx="32">
                  <c:v>63.872372991110844</c:v>
                </c:pt>
                <c:pt idx="33">
                  <c:v>65.167481014893738</c:v>
                </c:pt>
                <c:pt idx="34">
                  <c:v>66.285983399069863</c:v>
                </c:pt>
                <c:pt idx="35">
                  <c:v>68.346382527815379</c:v>
                </c:pt>
                <c:pt idx="36">
                  <c:v>77.000058868546532</c:v>
                </c:pt>
                <c:pt idx="37">
                  <c:v>81.945016777535756</c:v>
                </c:pt>
                <c:pt idx="38">
                  <c:v>85.123918290457397</c:v>
                </c:pt>
                <c:pt idx="39">
                  <c:v>87.949608524165541</c:v>
                </c:pt>
                <c:pt idx="40">
                  <c:v>90.363218932124568</c:v>
                </c:pt>
                <c:pt idx="41">
                  <c:v>98.722552540177773</c:v>
                </c:pt>
                <c:pt idx="42">
                  <c:v>109.31889091658326</c:v>
                </c:pt>
                <c:pt idx="43">
                  <c:v>112.85100370871842</c:v>
                </c:pt>
                <c:pt idx="44">
                  <c:v>115.79443103549772</c:v>
                </c:pt>
                <c:pt idx="45">
                  <c:v>113.61629481368104</c:v>
                </c:pt>
                <c:pt idx="46">
                  <c:v>113.91063754635897</c:v>
                </c:pt>
                <c:pt idx="47">
                  <c:v>113.3808206275387</c:v>
                </c:pt>
                <c:pt idx="48">
                  <c:v>114.02837463943014</c:v>
                </c:pt>
                <c:pt idx="49">
                  <c:v>115.91216812856891</c:v>
                </c:pt>
                <c:pt idx="50">
                  <c:v>125.62547830694059</c:v>
                </c:pt>
                <c:pt idx="51">
                  <c:v>146.70041796668039</c:v>
                </c:pt>
                <c:pt idx="52">
                  <c:v>159.35715547183139</c:v>
                </c:pt>
                <c:pt idx="53">
                  <c:v>150.88008477070701</c:v>
                </c:pt>
                <c:pt idx="54">
                  <c:v>145.34644139636191</c:v>
                </c:pt>
                <c:pt idx="55">
                  <c:v>141.87319715076234</c:v>
                </c:pt>
                <c:pt idx="56">
                  <c:v>134.98557720609878</c:v>
                </c:pt>
                <c:pt idx="57">
                  <c:v>132.86630953081766</c:v>
                </c:pt>
                <c:pt idx="58">
                  <c:v>123.85942191087301</c:v>
                </c:pt>
                <c:pt idx="59">
                  <c:v>111.37929004532877</c:v>
                </c:pt>
                <c:pt idx="60">
                  <c:v>107.78830870665803</c:v>
                </c:pt>
                <c:pt idx="61">
                  <c:v>104.4916701006652</c:v>
                </c:pt>
                <c:pt idx="62">
                  <c:v>101.78371696002826</c:v>
                </c:pt>
                <c:pt idx="63">
                  <c:v>101.07729440160121</c:v>
                </c:pt>
                <c:pt idx="64">
                  <c:v>98.722552540177773</c:v>
                </c:pt>
                <c:pt idx="65">
                  <c:v>93.542120445046208</c:v>
                </c:pt>
                <c:pt idx="66">
                  <c:v>89.421322187555191</c:v>
                </c:pt>
                <c:pt idx="67">
                  <c:v>87.419791605345253</c:v>
                </c:pt>
                <c:pt idx="68">
                  <c:v>86.360157767704706</c:v>
                </c:pt>
                <c:pt idx="69">
                  <c:v>86.831106139989402</c:v>
                </c:pt>
                <c:pt idx="70">
                  <c:v>88.3</c:v>
                </c:pt>
                <c:pt idx="71">
                  <c:v>89.3</c:v>
                </c:pt>
                <c:pt idx="72">
                  <c:v>90.3</c:v>
                </c:pt>
                <c:pt idx="73">
                  <c:v>91.2</c:v>
                </c:pt>
                <c:pt idx="74">
                  <c:v>90.7</c:v>
                </c:pt>
                <c:pt idx="75">
                  <c:v>89.2</c:v>
                </c:pt>
                <c:pt idx="76">
                  <c:v>89</c:v>
                </c:pt>
                <c:pt idx="77">
                  <c:v>88.3</c:v>
                </c:pt>
                <c:pt idx="78">
                  <c:v>88.3</c:v>
                </c:pt>
                <c:pt idx="79">
                  <c:v>88.3</c:v>
                </c:pt>
                <c:pt idx="80">
                  <c:v>89.1</c:v>
                </c:pt>
                <c:pt idx="81">
                  <c:v>86.4</c:v>
                </c:pt>
                <c:pt idx="82">
                  <c:v>85.7</c:v>
                </c:pt>
                <c:pt idx="83">
                  <c:v>85.8</c:v>
                </c:pt>
                <c:pt idx="84">
                  <c:v>86.3</c:v>
                </c:pt>
                <c:pt idx="85">
                  <c:v>87.5</c:v>
                </c:pt>
                <c:pt idx="86">
                  <c:v>88.3</c:v>
                </c:pt>
                <c:pt idx="87">
                  <c:v>89.1</c:v>
                </c:pt>
                <c:pt idx="88">
                  <c:v>89.6</c:v>
                </c:pt>
                <c:pt idx="89">
                  <c:v>89.4</c:v>
                </c:pt>
                <c:pt idx="90">
                  <c:v>88.6</c:v>
                </c:pt>
                <c:pt idx="91">
                  <c:v>87.8</c:v>
                </c:pt>
                <c:pt idx="92">
                  <c:v>87.7</c:v>
                </c:pt>
                <c:pt idx="93">
                  <c:v>86.4</c:v>
                </c:pt>
                <c:pt idx="94">
                  <c:v>85.7</c:v>
                </c:pt>
                <c:pt idx="95">
                  <c:v>85.6</c:v>
                </c:pt>
                <c:pt idx="96">
                  <c:v>85.4</c:v>
                </c:pt>
                <c:pt idx="97">
                  <c:v>85.9</c:v>
                </c:pt>
                <c:pt idx="98">
                  <c:v>87.6</c:v>
                </c:pt>
                <c:pt idx="99">
                  <c:v>91.3</c:v>
                </c:pt>
                <c:pt idx="100">
                  <c:v>95.4</c:v>
                </c:pt>
              </c:numCache>
            </c:numRef>
          </c:val>
          <c:smooth val="0"/>
          <c:extLst>
            <c:ext xmlns:c16="http://schemas.microsoft.com/office/drawing/2014/chart" uri="{C3380CC4-5D6E-409C-BE32-E72D297353CC}">
              <c16:uniqueId val="{00000000-CB84-45A6-870A-1B3197AC3B98}"/>
            </c:ext>
          </c:extLst>
        </c:ser>
        <c:dLbls>
          <c:showLegendKey val="0"/>
          <c:showVal val="0"/>
          <c:showCatName val="0"/>
          <c:showSerName val="0"/>
          <c:showPercent val="0"/>
          <c:showBubbleSize val="0"/>
        </c:dLbls>
        <c:smooth val="0"/>
        <c:axId val="400790288"/>
        <c:axId val="400794880"/>
      </c:lineChart>
      <c:dateAx>
        <c:axId val="400790288"/>
        <c:scaling>
          <c:orientation val="minMax"/>
        </c:scaling>
        <c:delete val="0"/>
        <c:axPos val="b"/>
        <c:numFmt formatCode="[$-40C]mmm\-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4880"/>
        <c:crosses val="autoZero"/>
        <c:auto val="1"/>
        <c:lblOffset val="100"/>
        <c:baseTimeUnit val="months"/>
        <c:majorUnit val="4"/>
        <c:majorTimeUnit val="months"/>
      </c:dateAx>
      <c:valAx>
        <c:axId val="400794880"/>
        <c:scaling>
          <c:orientation val="minMax"/>
        </c:scaling>
        <c:delete val="0"/>
        <c:axPos val="l"/>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0288"/>
        <c:crossesAt val="43101"/>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b="1">
          <a:solidFill>
            <a:sysClr val="windowText" lastClr="000000"/>
          </a:solidFill>
        </a:defRPr>
      </a:pPr>
      <a:endParaRPr lang="fr-FR"/>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mn-lt"/>
              <a:ea typeface="+mn-ea"/>
              <a:cs typeface="+mn-cs"/>
            </a:defRPr>
          </a:pPr>
          <a:endParaRPr lang="fr-FR"/>
        </a:p>
      </c:txPr>
    </c:title>
    <c:autoTitleDeleted val="0"/>
    <c:plotArea>
      <c:layout>
        <c:manualLayout>
          <c:layoutTarget val="inner"/>
          <c:xMode val="edge"/>
          <c:yMode val="edge"/>
          <c:x val="0.11732912723449003"/>
          <c:y val="0.21225834442186373"/>
          <c:w val="0.84372064493515597"/>
          <c:h val="0.53500308264605201"/>
        </c:manualLayout>
      </c:layout>
      <c:lineChart>
        <c:grouping val="standard"/>
        <c:varyColors val="0"/>
        <c:ser>
          <c:idx val="1"/>
          <c:order val="0"/>
          <c:tx>
            <c:strRef>
              <c:f>'DONNEES DATE A DATE'!$G$14</c:f>
              <c:strCache>
                <c:ptCount val="1"/>
                <c:pt idx="0">
                  <c:v>Béton prêt à l'emploi</c:v>
                </c:pt>
              </c:strCache>
            </c:strRef>
          </c:tx>
          <c:spPr>
            <a:ln w="28575" cap="rnd">
              <a:solidFill>
                <a:schemeClr val="accent6"/>
              </a:solidFill>
              <a:round/>
            </a:ln>
            <a:effectLst/>
          </c:spPr>
          <c:marker>
            <c:symbol val="none"/>
          </c:marker>
          <c:cat>
            <c:numRef>
              <c:f>'DONNEES DATE A DATE'!$A$16:$A$116</c:f>
              <c:numCache>
                <c:formatCode>[$-40C]mmm\-yy;@</c:formatCode>
                <c:ptCount val="101"/>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pt idx="95">
                  <c:v>45992</c:v>
                </c:pt>
                <c:pt idx="96">
                  <c:v>46023</c:v>
                </c:pt>
                <c:pt idx="97">
                  <c:v>46054</c:v>
                </c:pt>
                <c:pt idx="98">
                  <c:v>46082</c:v>
                </c:pt>
                <c:pt idx="99">
                  <c:v>46113</c:v>
                </c:pt>
                <c:pt idx="100">
                  <c:v>46143</c:v>
                </c:pt>
              </c:numCache>
            </c:numRef>
          </c:cat>
          <c:val>
            <c:numRef>
              <c:f>'DONNEES DATE A DATE'!$G$16:$G$116</c:f>
              <c:numCache>
                <c:formatCode>0.0</c:formatCode>
                <c:ptCount val="101"/>
                <c:pt idx="0">
                  <c:v>93.626621545403253</c:v>
                </c:pt>
                <c:pt idx="1">
                  <c:v>93.438616281255875</c:v>
                </c:pt>
                <c:pt idx="2">
                  <c:v>94.190637337845459</c:v>
                </c:pt>
                <c:pt idx="3">
                  <c:v>94.942658394435043</c:v>
                </c:pt>
                <c:pt idx="4">
                  <c:v>95.694679451024612</c:v>
                </c:pt>
                <c:pt idx="5">
                  <c:v>95.60067681895093</c:v>
                </c:pt>
                <c:pt idx="6">
                  <c:v>95.788682083098323</c:v>
                </c:pt>
                <c:pt idx="7">
                  <c:v>96.540703139687906</c:v>
                </c:pt>
                <c:pt idx="8">
                  <c:v>95.694679451024612</c:v>
                </c:pt>
                <c:pt idx="9">
                  <c:v>96.070689979319411</c:v>
                </c:pt>
                <c:pt idx="10">
                  <c:v>96.258695243466818</c:v>
                </c:pt>
                <c:pt idx="11">
                  <c:v>96.070689979319411</c:v>
                </c:pt>
                <c:pt idx="12">
                  <c:v>97.574732092498579</c:v>
                </c:pt>
                <c:pt idx="13">
                  <c:v>97.950742620793378</c:v>
                </c:pt>
                <c:pt idx="14">
                  <c:v>98.044745252867074</c:v>
                </c:pt>
                <c:pt idx="15">
                  <c:v>97.856739988719667</c:v>
                </c:pt>
                <c:pt idx="16">
                  <c:v>98.608761045309265</c:v>
                </c:pt>
                <c:pt idx="17">
                  <c:v>98.98477157360405</c:v>
                </c:pt>
                <c:pt idx="18">
                  <c:v>99.07877420567776</c:v>
                </c:pt>
                <c:pt idx="19">
                  <c:v>100.30080842263582</c:v>
                </c:pt>
                <c:pt idx="20">
                  <c:v>98.890768941530354</c:v>
                </c:pt>
                <c:pt idx="21">
                  <c:v>98.420755781161873</c:v>
                </c:pt>
                <c:pt idx="22">
                  <c:v>98.232750517014466</c:v>
                </c:pt>
                <c:pt idx="23">
                  <c:v>98.514758413235555</c:v>
                </c:pt>
                <c:pt idx="24">
                  <c:v>98.890768941530354</c:v>
                </c:pt>
                <c:pt idx="25">
                  <c:v>97.480729460424882</c:v>
                </c:pt>
                <c:pt idx="26">
                  <c:v>97.29272419627749</c:v>
                </c:pt>
                <c:pt idx="27">
                  <c:v>96.540703139687906</c:v>
                </c:pt>
                <c:pt idx="28">
                  <c:v>98.13874788494077</c:v>
                </c:pt>
                <c:pt idx="29">
                  <c:v>99.07877420567776</c:v>
                </c:pt>
                <c:pt idx="30">
                  <c:v>99.266779469825138</c:v>
                </c:pt>
                <c:pt idx="31">
                  <c:v>99.07877420567776</c:v>
                </c:pt>
                <c:pt idx="32">
                  <c:v>100.11280315848843</c:v>
                </c:pt>
                <c:pt idx="33">
                  <c:v>99.548787366046241</c:v>
                </c:pt>
                <c:pt idx="34">
                  <c:v>99.07877420567776</c:v>
                </c:pt>
                <c:pt idx="35">
                  <c:v>98.420755781161873</c:v>
                </c:pt>
                <c:pt idx="36">
                  <c:v>99.454784733972545</c:v>
                </c:pt>
                <c:pt idx="37">
                  <c:v>99.548787366046241</c:v>
                </c:pt>
                <c:pt idx="38">
                  <c:v>99.830795262267344</c:v>
                </c:pt>
                <c:pt idx="39">
                  <c:v>100.01880052641474</c:v>
                </c:pt>
                <c:pt idx="40">
                  <c:v>99.642789998119937</c:v>
                </c:pt>
                <c:pt idx="41">
                  <c:v>99.266779469825138</c:v>
                </c:pt>
                <c:pt idx="42">
                  <c:v>100.30080842263582</c:v>
                </c:pt>
                <c:pt idx="43">
                  <c:v>101.80485053581499</c:v>
                </c:pt>
                <c:pt idx="44">
                  <c:v>99.172776837751456</c:v>
                </c:pt>
                <c:pt idx="45">
                  <c:v>100.01880052641474</c:v>
                </c:pt>
                <c:pt idx="46">
                  <c:v>100.58281631885691</c:v>
                </c:pt>
                <c:pt idx="47">
                  <c:v>100.48881368678323</c:v>
                </c:pt>
                <c:pt idx="48">
                  <c:v>103.21489001692046</c:v>
                </c:pt>
                <c:pt idx="49">
                  <c:v>103.02688475277307</c:v>
                </c:pt>
                <c:pt idx="50">
                  <c:v>102.74487685655197</c:v>
                </c:pt>
                <c:pt idx="51">
                  <c:v>104.62492949802594</c:v>
                </c:pt>
                <c:pt idx="52">
                  <c:v>105.846963714984</c:v>
                </c:pt>
                <c:pt idx="53">
                  <c:v>105.28294792254182</c:v>
                </c:pt>
                <c:pt idx="54">
                  <c:v>106.5049821394999</c:v>
                </c:pt>
                <c:pt idx="55">
                  <c:v>109.60706899793193</c:v>
                </c:pt>
                <c:pt idx="56">
                  <c:v>107.72701635645797</c:v>
                </c:pt>
                <c:pt idx="57">
                  <c:v>106.69298740364729</c:v>
                </c:pt>
                <c:pt idx="58">
                  <c:v>108.10302688475277</c:v>
                </c:pt>
                <c:pt idx="59">
                  <c:v>108.38503478097385</c:v>
                </c:pt>
                <c:pt idx="60">
                  <c:v>114.96521902613271</c:v>
                </c:pt>
                <c:pt idx="61">
                  <c:v>125.39951118631322</c:v>
                </c:pt>
                <c:pt idx="62">
                  <c:v>125.2115059221658</c:v>
                </c:pt>
                <c:pt idx="63">
                  <c:v>128.31359278059784</c:v>
                </c:pt>
                <c:pt idx="64">
                  <c:v>128.12558751645045</c:v>
                </c:pt>
                <c:pt idx="65">
                  <c:v>128.40759541267153</c:v>
                </c:pt>
                <c:pt idx="66">
                  <c:v>126.90355329949237</c:v>
                </c:pt>
                <c:pt idx="67">
                  <c:v>129.44162436548223</c:v>
                </c:pt>
                <c:pt idx="68">
                  <c:v>127.27956382778717</c:v>
                </c:pt>
                <c:pt idx="69">
                  <c:v>128.50159804474524</c:v>
                </c:pt>
                <c:pt idx="70">
                  <c:v>128.50159804474524</c:v>
                </c:pt>
                <c:pt idx="71">
                  <c:v>128.6</c:v>
                </c:pt>
                <c:pt idx="72">
                  <c:v>129.19999999999999</c:v>
                </c:pt>
                <c:pt idx="73">
                  <c:v>130.4</c:v>
                </c:pt>
                <c:pt idx="74">
                  <c:v>129.4</c:v>
                </c:pt>
                <c:pt idx="75">
                  <c:v>129.69999999999999</c:v>
                </c:pt>
                <c:pt idx="76">
                  <c:v>129</c:v>
                </c:pt>
                <c:pt idx="77">
                  <c:v>128.5</c:v>
                </c:pt>
                <c:pt idx="78">
                  <c:v>128.6</c:v>
                </c:pt>
                <c:pt idx="79">
                  <c:v>129.19999999999999</c:v>
                </c:pt>
                <c:pt idx="80">
                  <c:v>128.1</c:v>
                </c:pt>
                <c:pt idx="81">
                  <c:v>128.19999999999999</c:v>
                </c:pt>
                <c:pt idx="82">
                  <c:v>127.7</c:v>
                </c:pt>
                <c:pt idx="83">
                  <c:v>128.1</c:v>
                </c:pt>
                <c:pt idx="84">
                  <c:v>131.19999999999999</c:v>
                </c:pt>
                <c:pt idx="85">
                  <c:v>130.19999999999999</c:v>
                </c:pt>
                <c:pt idx="86">
                  <c:v>130.1</c:v>
                </c:pt>
                <c:pt idx="87">
                  <c:v>131.5</c:v>
                </c:pt>
                <c:pt idx="88">
                  <c:v>131.69999999999999</c:v>
                </c:pt>
                <c:pt idx="89">
                  <c:v>130.69999999999999</c:v>
                </c:pt>
                <c:pt idx="90">
                  <c:v>131.30000000000001</c:v>
                </c:pt>
                <c:pt idx="91">
                  <c:v>132.69999999999999</c:v>
                </c:pt>
                <c:pt idx="92">
                  <c:v>131.30000000000001</c:v>
                </c:pt>
                <c:pt idx="93">
                  <c:v>131.69999999999999</c:v>
                </c:pt>
                <c:pt idx="94">
                  <c:v>131.6</c:v>
                </c:pt>
                <c:pt idx="95">
                  <c:v>131.19999999999999</c:v>
                </c:pt>
                <c:pt idx="96">
                  <c:v>133.4</c:v>
                </c:pt>
                <c:pt idx="97">
                  <c:v>133.4</c:v>
                </c:pt>
                <c:pt idx="98">
                  <c:v>133.69999999999999</c:v>
                </c:pt>
                <c:pt idx="99">
                  <c:v>137.5</c:v>
                </c:pt>
                <c:pt idx="100">
                  <c:v>136.5</c:v>
                </c:pt>
              </c:numCache>
            </c:numRef>
          </c:val>
          <c:smooth val="0"/>
          <c:extLst>
            <c:ext xmlns:c16="http://schemas.microsoft.com/office/drawing/2014/chart" uri="{C3380CC4-5D6E-409C-BE32-E72D297353CC}">
              <c16:uniqueId val="{00000000-858A-4048-A749-4D483F4EFED2}"/>
            </c:ext>
          </c:extLst>
        </c:ser>
        <c:dLbls>
          <c:showLegendKey val="0"/>
          <c:showVal val="0"/>
          <c:showCatName val="0"/>
          <c:showSerName val="0"/>
          <c:showPercent val="0"/>
          <c:showBubbleSize val="0"/>
        </c:dLbls>
        <c:smooth val="0"/>
        <c:axId val="400790288"/>
        <c:axId val="400794880"/>
      </c:lineChart>
      <c:dateAx>
        <c:axId val="400790288"/>
        <c:scaling>
          <c:orientation val="minMax"/>
        </c:scaling>
        <c:delete val="0"/>
        <c:axPos val="b"/>
        <c:numFmt formatCode="[$-40C]mmm\-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4880"/>
        <c:crosses val="autoZero"/>
        <c:auto val="1"/>
        <c:lblOffset val="100"/>
        <c:baseTimeUnit val="months"/>
        <c:majorUnit val="4"/>
        <c:majorTimeUnit val="months"/>
      </c:dateAx>
      <c:valAx>
        <c:axId val="400794880"/>
        <c:scaling>
          <c:orientation val="minMax"/>
        </c:scaling>
        <c:delete val="0"/>
        <c:axPos val="l"/>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0288"/>
        <c:crossesAt val="43101"/>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b="1">
          <a:solidFill>
            <a:sysClr val="windowText" lastClr="000000"/>
          </a:solidFill>
        </a:defRPr>
      </a:pPr>
      <a:endParaRPr lang="fr-FR"/>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ysClr val="windowText" lastClr="000000"/>
                </a:solidFill>
                <a:latin typeface="+mn-lt"/>
                <a:ea typeface="+mn-ea"/>
                <a:cs typeface="+mn-cs"/>
              </a:defRPr>
            </a:pPr>
            <a:r>
              <a:rPr lang="fr-FR" sz="1000"/>
              <a:t>Matériel</a:t>
            </a:r>
          </a:p>
        </c:rich>
      </c:tx>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mn-lt"/>
              <a:ea typeface="+mn-ea"/>
              <a:cs typeface="+mn-cs"/>
            </a:defRPr>
          </a:pPr>
          <a:endParaRPr lang="fr-FR"/>
        </a:p>
      </c:txPr>
    </c:title>
    <c:autoTitleDeleted val="0"/>
    <c:plotArea>
      <c:layout>
        <c:manualLayout>
          <c:layoutTarget val="inner"/>
          <c:xMode val="edge"/>
          <c:yMode val="edge"/>
          <c:x val="0.17500029052968316"/>
          <c:y val="0.20885388847413555"/>
          <c:w val="0.77770962840171298"/>
          <c:h val="0.48801884875143364"/>
        </c:manualLayout>
      </c:layout>
      <c:lineChart>
        <c:grouping val="standard"/>
        <c:varyColors val="0"/>
        <c:ser>
          <c:idx val="1"/>
          <c:order val="0"/>
          <c:tx>
            <c:strRef>
              <c:f>'DONNEES CUMULS DEPUIS JANVIER'!$D$14</c:f>
              <c:strCache>
                <c:ptCount val="1"/>
                <c:pt idx="0">
                  <c:v>Matériel</c:v>
                </c:pt>
              </c:strCache>
            </c:strRef>
          </c:tx>
          <c:spPr>
            <a:ln w="28575" cap="rnd">
              <a:solidFill>
                <a:schemeClr val="accent2"/>
              </a:solidFill>
              <a:round/>
            </a:ln>
            <a:effectLst/>
          </c:spPr>
          <c:marker>
            <c:symbol val="none"/>
          </c:marker>
          <c:cat>
            <c:numRef>
              <c:f>'DONNEES CUMULS DEPUIS JANVIER'!$A$16:$A$51</c:f>
              <c:numCache>
                <c:formatCode>mmm\-yyyy</c:formatCode>
                <c:ptCount val="36"/>
                <c:pt idx="0">
                  <c:v>45078</c:v>
                </c:pt>
                <c:pt idx="1">
                  <c:v>45108</c:v>
                </c:pt>
                <c:pt idx="2">
                  <c:v>45139</c:v>
                </c:pt>
                <c:pt idx="3">
                  <c:v>45170</c:v>
                </c:pt>
                <c:pt idx="4">
                  <c:v>45200</c:v>
                </c:pt>
                <c:pt idx="5">
                  <c:v>45231</c:v>
                </c:pt>
                <c:pt idx="6">
                  <c:v>45261</c:v>
                </c:pt>
                <c:pt idx="7">
                  <c:v>45292</c:v>
                </c:pt>
                <c:pt idx="8">
                  <c:v>45323</c:v>
                </c:pt>
                <c:pt idx="9">
                  <c:v>45352</c:v>
                </c:pt>
                <c:pt idx="10">
                  <c:v>45383</c:v>
                </c:pt>
                <c:pt idx="11">
                  <c:v>45413</c:v>
                </c:pt>
                <c:pt idx="12">
                  <c:v>45444</c:v>
                </c:pt>
                <c:pt idx="13">
                  <c:v>45474</c:v>
                </c:pt>
                <c:pt idx="14">
                  <c:v>45505</c:v>
                </c:pt>
                <c:pt idx="15">
                  <c:v>45536</c:v>
                </c:pt>
                <c:pt idx="16">
                  <c:v>45566</c:v>
                </c:pt>
                <c:pt idx="17">
                  <c:v>45597</c:v>
                </c:pt>
                <c:pt idx="18">
                  <c:v>45627</c:v>
                </c:pt>
                <c:pt idx="19">
                  <c:v>45658</c:v>
                </c:pt>
                <c:pt idx="20">
                  <c:v>45689</c:v>
                </c:pt>
                <c:pt idx="21">
                  <c:v>45717</c:v>
                </c:pt>
                <c:pt idx="22">
                  <c:v>45748</c:v>
                </c:pt>
                <c:pt idx="23">
                  <c:v>45778</c:v>
                </c:pt>
                <c:pt idx="24">
                  <c:v>45809</c:v>
                </c:pt>
                <c:pt idx="25">
                  <c:v>45839</c:v>
                </c:pt>
                <c:pt idx="26">
                  <c:v>45870</c:v>
                </c:pt>
                <c:pt idx="27">
                  <c:v>45901</c:v>
                </c:pt>
                <c:pt idx="28">
                  <c:v>45931</c:v>
                </c:pt>
                <c:pt idx="29">
                  <c:v>45962</c:v>
                </c:pt>
                <c:pt idx="30">
                  <c:v>45992</c:v>
                </c:pt>
                <c:pt idx="31">
                  <c:v>46023</c:v>
                </c:pt>
                <c:pt idx="32">
                  <c:v>46054</c:v>
                </c:pt>
                <c:pt idx="33">
                  <c:v>46082</c:v>
                </c:pt>
                <c:pt idx="34">
                  <c:v>46113</c:v>
                </c:pt>
                <c:pt idx="35">
                  <c:v>46143</c:v>
                </c:pt>
              </c:numCache>
            </c:numRef>
          </c:cat>
          <c:val>
            <c:numRef>
              <c:f>'DONNEES CUMULS DEPUIS JANVIER'!$D$16:$D$51</c:f>
              <c:numCache>
                <c:formatCode>General</c:formatCode>
                <c:ptCount val="36"/>
                <c:pt idx="0">
                  <c:v>122.3</c:v>
                </c:pt>
                <c:pt idx="1">
                  <c:v>122.9</c:v>
                </c:pt>
                <c:pt idx="2">
                  <c:v>122.8</c:v>
                </c:pt>
                <c:pt idx="3">
                  <c:v>123.5</c:v>
                </c:pt>
                <c:pt idx="4">
                  <c:v>123.3</c:v>
                </c:pt>
                <c:pt idx="5">
                  <c:v>123</c:v>
                </c:pt>
                <c:pt idx="6">
                  <c:v>124.2</c:v>
                </c:pt>
                <c:pt idx="7">
                  <c:v>124</c:v>
                </c:pt>
                <c:pt idx="8">
                  <c:v>124.1</c:v>
                </c:pt>
                <c:pt idx="9">
                  <c:v>124.5</c:v>
                </c:pt>
                <c:pt idx="10">
                  <c:v>125</c:v>
                </c:pt>
                <c:pt idx="11">
                  <c:v>124.9</c:v>
                </c:pt>
                <c:pt idx="12">
                  <c:v>125</c:v>
                </c:pt>
                <c:pt idx="13">
                  <c:v>125</c:v>
                </c:pt>
                <c:pt idx="14">
                  <c:v>125.4</c:v>
                </c:pt>
                <c:pt idx="15">
                  <c:v>125.3</c:v>
                </c:pt>
                <c:pt idx="16">
                  <c:v>125</c:v>
                </c:pt>
                <c:pt idx="17">
                  <c:v>124.8</c:v>
                </c:pt>
                <c:pt idx="18">
                  <c:v>124.9</c:v>
                </c:pt>
                <c:pt idx="19">
                  <c:v>124.3</c:v>
                </c:pt>
                <c:pt idx="20">
                  <c:v>124.8</c:v>
                </c:pt>
                <c:pt idx="21">
                  <c:v>124.5</c:v>
                </c:pt>
                <c:pt idx="22">
                  <c:v>126.2</c:v>
                </c:pt>
                <c:pt idx="23">
                  <c:v>126.4</c:v>
                </c:pt>
                <c:pt idx="24">
                  <c:v>126</c:v>
                </c:pt>
                <c:pt idx="25">
                  <c:v>125.5</c:v>
                </c:pt>
                <c:pt idx="26">
                  <c:v>128.4</c:v>
                </c:pt>
                <c:pt idx="27">
                  <c:v>126.8</c:v>
                </c:pt>
                <c:pt idx="28">
                  <c:v>126.7</c:v>
                </c:pt>
                <c:pt idx="29">
                  <c:v>126.2</c:v>
                </c:pt>
                <c:pt idx="30">
                  <c:v>125.5</c:v>
                </c:pt>
                <c:pt idx="31">
                  <c:v>127.6</c:v>
                </c:pt>
                <c:pt idx="32">
                  <c:v>125.9</c:v>
                </c:pt>
                <c:pt idx="33">
                  <c:v>126.5</c:v>
                </c:pt>
                <c:pt idx="34">
                  <c:v>128.1</c:v>
                </c:pt>
                <c:pt idx="35">
                  <c:v>127.8</c:v>
                </c:pt>
              </c:numCache>
            </c:numRef>
          </c:val>
          <c:smooth val="0"/>
          <c:extLst>
            <c:ext xmlns:c16="http://schemas.microsoft.com/office/drawing/2014/chart" uri="{C3380CC4-5D6E-409C-BE32-E72D297353CC}">
              <c16:uniqueId val="{00000000-472D-420D-9718-01F7365374D6}"/>
            </c:ext>
          </c:extLst>
        </c:ser>
        <c:dLbls>
          <c:showLegendKey val="0"/>
          <c:showVal val="0"/>
          <c:showCatName val="0"/>
          <c:showSerName val="0"/>
          <c:showPercent val="0"/>
          <c:showBubbleSize val="0"/>
        </c:dLbls>
        <c:smooth val="0"/>
        <c:axId val="400790288"/>
        <c:axId val="400794880"/>
      </c:lineChart>
      <c:dateAx>
        <c:axId val="400790288"/>
        <c:scaling>
          <c:orientation val="minMax"/>
        </c:scaling>
        <c:delete val="0"/>
        <c:axPos val="b"/>
        <c:numFmt formatCode="mmm\-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4880"/>
        <c:crosses val="autoZero"/>
        <c:auto val="1"/>
        <c:lblOffset val="100"/>
        <c:baseTimeUnit val="months"/>
        <c:majorUnit val="5"/>
        <c:majorTimeUnit val="months"/>
      </c:dateAx>
      <c:valAx>
        <c:axId val="400794880"/>
        <c:scaling>
          <c:orientation val="minMax"/>
          <c:min val="100"/>
        </c:scaling>
        <c:delete val="0"/>
        <c:axPos val="l"/>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0288"/>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b="1">
          <a:solidFill>
            <a:sysClr val="windowText" lastClr="000000"/>
          </a:solidFill>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ysClr val="windowText" lastClr="000000"/>
                </a:solidFill>
                <a:latin typeface="+mn-lt"/>
                <a:ea typeface="+mn-ea"/>
                <a:cs typeface="+mn-cs"/>
              </a:defRPr>
            </a:pPr>
            <a:r>
              <a:rPr lang="fr-FR" sz="1000"/>
              <a:t>Travail</a:t>
            </a:r>
          </a:p>
        </c:rich>
      </c:tx>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mn-lt"/>
              <a:ea typeface="+mn-ea"/>
              <a:cs typeface="+mn-cs"/>
            </a:defRPr>
          </a:pPr>
          <a:endParaRPr lang="fr-FR"/>
        </a:p>
      </c:txPr>
    </c:title>
    <c:autoTitleDeleted val="0"/>
    <c:plotArea>
      <c:layout/>
      <c:lineChart>
        <c:grouping val="standard"/>
        <c:varyColors val="0"/>
        <c:ser>
          <c:idx val="1"/>
          <c:order val="0"/>
          <c:tx>
            <c:strRef>
              <c:f>'DONNEES CUMULS DEPUIS JANVIER'!$E$14</c:f>
              <c:strCache>
                <c:ptCount val="1"/>
                <c:pt idx="0">
                  <c:v>Travail</c:v>
                </c:pt>
              </c:strCache>
            </c:strRef>
          </c:tx>
          <c:spPr>
            <a:ln w="28575" cap="rnd">
              <a:solidFill>
                <a:schemeClr val="accent2"/>
              </a:solidFill>
              <a:round/>
            </a:ln>
            <a:effectLst/>
          </c:spPr>
          <c:marker>
            <c:symbol val="none"/>
          </c:marker>
          <c:cat>
            <c:numRef>
              <c:f>'DONNEES CUMULS DEPUIS JANVIER'!$A$16:$A$51</c:f>
              <c:numCache>
                <c:formatCode>mmm\-yyyy</c:formatCode>
                <c:ptCount val="36"/>
                <c:pt idx="0">
                  <c:v>45078</c:v>
                </c:pt>
                <c:pt idx="1">
                  <c:v>45108</c:v>
                </c:pt>
                <c:pt idx="2">
                  <c:v>45139</c:v>
                </c:pt>
                <c:pt idx="3">
                  <c:v>45170</c:v>
                </c:pt>
                <c:pt idx="4">
                  <c:v>45200</c:v>
                </c:pt>
                <c:pt idx="5">
                  <c:v>45231</c:v>
                </c:pt>
                <c:pt idx="6">
                  <c:v>45261</c:v>
                </c:pt>
                <c:pt idx="7">
                  <c:v>45292</c:v>
                </c:pt>
                <c:pt idx="8">
                  <c:v>45323</c:v>
                </c:pt>
                <c:pt idx="9">
                  <c:v>45352</c:v>
                </c:pt>
                <c:pt idx="10">
                  <c:v>45383</c:v>
                </c:pt>
                <c:pt idx="11">
                  <c:v>45413</c:v>
                </c:pt>
                <c:pt idx="12">
                  <c:v>45444</c:v>
                </c:pt>
                <c:pt idx="13">
                  <c:v>45474</c:v>
                </c:pt>
                <c:pt idx="14">
                  <c:v>45505</c:v>
                </c:pt>
                <c:pt idx="15">
                  <c:v>45536</c:v>
                </c:pt>
                <c:pt idx="16">
                  <c:v>45566</c:v>
                </c:pt>
                <c:pt idx="17">
                  <c:v>45597</c:v>
                </c:pt>
                <c:pt idx="18">
                  <c:v>45627</c:v>
                </c:pt>
                <c:pt idx="19">
                  <c:v>45658</c:v>
                </c:pt>
                <c:pt idx="20">
                  <c:v>45689</c:v>
                </c:pt>
                <c:pt idx="21">
                  <c:v>45717</c:v>
                </c:pt>
                <c:pt idx="22">
                  <c:v>45748</c:v>
                </c:pt>
                <c:pt idx="23">
                  <c:v>45778</c:v>
                </c:pt>
                <c:pt idx="24">
                  <c:v>45809</c:v>
                </c:pt>
                <c:pt idx="25">
                  <c:v>45839</c:v>
                </c:pt>
                <c:pt idx="26">
                  <c:v>45870</c:v>
                </c:pt>
                <c:pt idx="27">
                  <c:v>45901</c:v>
                </c:pt>
                <c:pt idx="28">
                  <c:v>45931</c:v>
                </c:pt>
                <c:pt idx="29">
                  <c:v>45962</c:v>
                </c:pt>
                <c:pt idx="30">
                  <c:v>45992</c:v>
                </c:pt>
                <c:pt idx="31">
                  <c:v>46023</c:v>
                </c:pt>
                <c:pt idx="32">
                  <c:v>46054</c:v>
                </c:pt>
                <c:pt idx="33">
                  <c:v>46082</c:v>
                </c:pt>
                <c:pt idx="34">
                  <c:v>46113</c:v>
                </c:pt>
                <c:pt idx="35">
                  <c:v>46143</c:v>
                </c:pt>
              </c:numCache>
            </c:numRef>
          </c:cat>
          <c:val>
            <c:numRef>
              <c:f>'DONNEES CUMULS DEPUIS JANVIER'!$E$16:$E$51</c:f>
              <c:numCache>
                <c:formatCode>General</c:formatCode>
                <c:ptCount val="36"/>
                <c:pt idx="0">
                  <c:v>131.4</c:v>
                </c:pt>
                <c:pt idx="1">
                  <c:v>131.5</c:v>
                </c:pt>
                <c:pt idx="2">
                  <c:v>131.6</c:v>
                </c:pt>
                <c:pt idx="3">
                  <c:v>131.69999999999999</c:v>
                </c:pt>
                <c:pt idx="4">
                  <c:v>131.9</c:v>
                </c:pt>
                <c:pt idx="5">
                  <c:v>132.1</c:v>
                </c:pt>
                <c:pt idx="6">
                  <c:v>132.30000000000001</c:v>
                </c:pt>
                <c:pt idx="7">
                  <c:v>132.5</c:v>
                </c:pt>
                <c:pt idx="8">
                  <c:v>132.69999999999999</c:v>
                </c:pt>
                <c:pt idx="9">
                  <c:v>132.9</c:v>
                </c:pt>
                <c:pt idx="10">
                  <c:v>133.30000000000001</c:v>
                </c:pt>
                <c:pt idx="11">
                  <c:v>133.69999999999999</c:v>
                </c:pt>
                <c:pt idx="12">
                  <c:v>134</c:v>
                </c:pt>
                <c:pt idx="13">
                  <c:v>134.6</c:v>
                </c:pt>
                <c:pt idx="14">
                  <c:v>135.1</c:v>
                </c:pt>
                <c:pt idx="15">
                  <c:v>135.69999999999999</c:v>
                </c:pt>
                <c:pt idx="16">
                  <c:v>136.1</c:v>
                </c:pt>
                <c:pt idx="17">
                  <c:v>136.5</c:v>
                </c:pt>
                <c:pt idx="18">
                  <c:v>136.9</c:v>
                </c:pt>
                <c:pt idx="19">
                  <c:v>137.19999999999999</c:v>
                </c:pt>
                <c:pt idx="20">
                  <c:v>137.4</c:v>
                </c:pt>
                <c:pt idx="21">
                  <c:v>137.6</c:v>
                </c:pt>
                <c:pt idx="22">
                  <c:v>138</c:v>
                </c:pt>
                <c:pt idx="23">
                  <c:v>138.4</c:v>
                </c:pt>
                <c:pt idx="24">
                  <c:v>138.69999999999999</c:v>
                </c:pt>
                <c:pt idx="25">
                  <c:v>139</c:v>
                </c:pt>
                <c:pt idx="26">
                  <c:v>139.30000000000001</c:v>
                </c:pt>
                <c:pt idx="27">
                  <c:v>139.69999999999999</c:v>
                </c:pt>
                <c:pt idx="28">
                  <c:v>140.4</c:v>
                </c:pt>
                <c:pt idx="29">
                  <c:v>141.1</c:v>
                </c:pt>
                <c:pt idx="30">
                  <c:v>141.80000000000001</c:v>
                </c:pt>
                <c:pt idx="31">
                  <c:v>142.19999999999999</c:v>
                </c:pt>
                <c:pt idx="32">
                  <c:v>142.6</c:v>
                </c:pt>
                <c:pt idx="33">
                  <c:v>143</c:v>
                </c:pt>
                <c:pt idx="34">
                  <c:v>143</c:v>
                </c:pt>
                <c:pt idx="35">
                  <c:v>143</c:v>
                </c:pt>
              </c:numCache>
            </c:numRef>
          </c:val>
          <c:smooth val="0"/>
          <c:extLst>
            <c:ext xmlns:c16="http://schemas.microsoft.com/office/drawing/2014/chart" uri="{C3380CC4-5D6E-409C-BE32-E72D297353CC}">
              <c16:uniqueId val="{00000000-4898-4B29-8812-26F8331EBD0B}"/>
            </c:ext>
          </c:extLst>
        </c:ser>
        <c:dLbls>
          <c:showLegendKey val="0"/>
          <c:showVal val="0"/>
          <c:showCatName val="0"/>
          <c:showSerName val="0"/>
          <c:showPercent val="0"/>
          <c:showBubbleSize val="0"/>
        </c:dLbls>
        <c:smooth val="0"/>
        <c:axId val="400790288"/>
        <c:axId val="400794880"/>
      </c:lineChart>
      <c:dateAx>
        <c:axId val="400790288"/>
        <c:scaling>
          <c:orientation val="minMax"/>
        </c:scaling>
        <c:delete val="0"/>
        <c:axPos val="b"/>
        <c:numFmt formatCode="mmm\-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4880"/>
        <c:crosses val="autoZero"/>
        <c:auto val="1"/>
        <c:lblOffset val="100"/>
        <c:baseTimeUnit val="months"/>
        <c:majorUnit val="5"/>
        <c:majorTimeUnit val="months"/>
      </c:dateAx>
      <c:valAx>
        <c:axId val="400794880"/>
        <c:scaling>
          <c:orientation val="minMax"/>
        </c:scaling>
        <c:delete val="0"/>
        <c:axPos val="l"/>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0288"/>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b="1">
          <a:solidFill>
            <a:sysClr val="windowText" lastClr="000000"/>
          </a:solidFill>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ysClr val="windowText" lastClr="000000"/>
                </a:solidFill>
                <a:latin typeface="+mn-lt"/>
                <a:ea typeface="+mn-ea"/>
                <a:cs typeface="+mn-cs"/>
              </a:defRPr>
            </a:pPr>
            <a:r>
              <a:rPr lang="fr-FR" sz="900"/>
              <a:t>GNR pour les Travaux Publics</a:t>
            </a:r>
          </a:p>
        </c:rich>
      </c:tx>
      <c:overlay val="0"/>
      <c:spPr>
        <a:noFill/>
        <a:ln>
          <a:noFill/>
        </a:ln>
        <a:effectLst/>
      </c:spPr>
      <c:txPr>
        <a:bodyPr rot="0" spcFirstLastPara="1" vertOverflow="ellipsis" vert="horz" wrap="square" anchor="ctr" anchorCtr="1"/>
        <a:lstStyle/>
        <a:p>
          <a:pPr>
            <a:defRPr sz="900" b="1" i="0" u="none" strike="noStrike" kern="1200" spc="0" baseline="0">
              <a:solidFill>
                <a:sysClr val="windowText" lastClr="000000"/>
              </a:solidFill>
              <a:latin typeface="+mn-lt"/>
              <a:ea typeface="+mn-ea"/>
              <a:cs typeface="+mn-cs"/>
            </a:defRPr>
          </a:pPr>
          <a:endParaRPr lang="fr-FR"/>
        </a:p>
      </c:txPr>
    </c:title>
    <c:autoTitleDeleted val="0"/>
    <c:plotArea>
      <c:layout>
        <c:manualLayout>
          <c:layoutTarget val="inner"/>
          <c:xMode val="edge"/>
          <c:yMode val="edge"/>
          <c:x val="0.18115266841644795"/>
          <c:y val="0.18833972883090305"/>
          <c:w val="0.74245844269466321"/>
          <c:h val="0.49494397544128932"/>
        </c:manualLayout>
      </c:layout>
      <c:lineChart>
        <c:grouping val="standard"/>
        <c:varyColors val="0"/>
        <c:ser>
          <c:idx val="1"/>
          <c:order val="0"/>
          <c:tx>
            <c:strRef>
              <c:f>'DONNEES CUMULS DEPUIS JANVIER'!$F$14</c:f>
              <c:strCache>
                <c:ptCount val="1"/>
                <c:pt idx="0">
                  <c:v>GNR pour les Travaux Publics</c:v>
                </c:pt>
              </c:strCache>
            </c:strRef>
          </c:tx>
          <c:spPr>
            <a:ln w="28575" cap="rnd">
              <a:solidFill>
                <a:schemeClr val="accent2"/>
              </a:solidFill>
              <a:round/>
            </a:ln>
            <a:effectLst/>
          </c:spPr>
          <c:marker>
            <c:symbol val="none"/>
          </c:marker>
          <c:cat>
            <c:numRef>
              <c:f>'DONNEES CUMULS DEPUIS JANVIER'!$A$16:$A$51</c:f>
              <c:numCache>
                <c:formatCode>mmm\-yyyy</c:formatCode>
                <c:ptCount val="36"/>
                <c:pt idx="0">
                  <c:v>45078</c:v>
                </c:pt>
                <c:pt idx="1">
                  <c:v>45108</c:v>
                </c:pt>
                <c:pt idx="2">
                  <c:v>45139</c:v>
                </c:pt>
                <c:pt idx="3">
                  <c:v>45170</c:v>
                </c:pt>
                <c:pt idx="4">
                  <c:v>45200</c:v>
                </c:pt>
                <c:pt idx="5">
                  <c:v>45231</c:v>
                </c:pt>
                <c:pt idx="6">
                  <c:v>45261</c:v>
                </c:pt>
                <c:pt idx="7">
                  <c:v>45292</c:v>
                </c:pt>
                <c:pt idx="8">
                  <c:v>45323</c:v>
                </c:pt>
                <c:pt idx="9">
                  <c:v>45352</c:v>
                </c:pt>
                <c:pt idx="10">
                  <c:v>45383</c:v>
                </c:pt>
                <c:pt idx="11">
                  <c:v>45413</c:v>
                </c:pt>
                <c:pt idx="12">
                  <c:v>45444</c:v>
                </c:pt>
                <c:pt idx="13">
                  <c:v>45474</c:v>
                </c:pt>
                <c:pt idx="14">
                  <c:v>45505</c:v>
                </c:pt>
                <c:pt idx="15">
                  <c:v>45536</c:v>
                </c:pt>
                <c:pt idx="16">
                  <c:v>45566</c:v>
                </c:pt>
                <c:pt idx="17">
                  <c:v>45597</c:v>
                </c:pt>
                <c:pt idx="18">
                  <c:v>45627</c:v>
                </c:pt>
                <c:pt idx="19">
                  <c:v>45658</c:v>
                </c:pt>
                <c:pt idx="20">
                  <c:v>45689</c:v>
                </c:pt>
                <c:pt idx="21">
                  <c:v>45717</c:v>
                </c:pt>
                <c:pt idx="22">
                  <c:v>45748</c:v>
                </c:pt>
                <c:pt idx="23">
                  <c:v>45778</c:v>
                </c:pt>
                <c:pt idx="24">
                  <c:v>45809</c:v>
                </c:pt>
                <c:pt idx="25">
                  <c:v>45839</c:v>
                </c:pt>
                <c:pt idx="26">
                  <c:v>45870</c:v>
                </c:pt>
                <c:pt idx="27">
                  <c:v>45901</c:v>
                </c:pt>
                <c:pt idx="28">
                  <c:v>45931</c:v>
                </c:pt>
                <c:pt idx="29">
                  <c:v>45962</c:v>
                </c:pt>
                <c:pt idx="30">
                  <c:v>45992</c:v>
                </c:pt>
                <c:pt idx="31">
                  <c:v>46023</c:v>
                </c:pt>
                <c:pt idx="32">
                  <c:v>46054</c:v>
                </c:pt>
                <c:pt idx="33">
                  <c:v>46082</c:v>
                </c:pt>
                <c:pt idx="34">
                  <c:v>46113</c:v>
                </c:pt>
                <c:pt idx="35">
                  <c:v>46143</c:v>
                </c:pt>
              </c:numCache>
            </c:numRef>
          </c:cat>
          <c:val>
            <c:numRef>
              <c:f>'DONNEES CUMULS DEPUIS JANVIER'!$F$16:$F$51</c:f>
              <c:numCache>
                <c:formatCode>General</c:formatCode>
                <c:ptCount val="36"/>
                <c:pt idx="0">
                  <c:v>124.3</c:v>
                </c:pt>
                <c:pt idx="1">
                  <c:v>129.1</c:v>
                </c:pt>
                <c:pt idx="2">
                  <c:v>143.19999999999999</c:v>
                </c:pt>
                <c:pt idx="3">
                  <c:v>151.1</c:v>
                </c:pt>
                <c:pt idx="4">
                  <c:v>146.5</c:v>
                </c:pt>
                <c:pt idx="5">
                  <c:v>139.4</c:v>
                </c:pt>
                <c:pt idx="6">
                  <c:v>132</c:v>
                </c:pt>
                <c:pt idx="7">
                  <c:v>146.30000000000001</c:v>
                </c:pt>
                <c:pt idx="8">
                  <c:v>152.9</c:v>
                </c:pt>
                <c:pt idx="9">
                  <c:v>149.80000000000001</c:v>
                </c:pt>
                <c:pt idx="10">
                  <c:v>147.9</c:v>
                </c:pt>
                <c:pt idx="11">
                  <c:v>141.19999999999999</c:v>
                </c:pt>
                <c:pt idx="12">
                  <c:v>142.19999999999999</c:v>
                </c:pt>
                <c:pt idx="13">
                  <c:v>140</c:v>
                </c:pt>
                <c:pt idx="14">
                  <c:v>131.69999999999999</c:v>
                </c:pt>
                <c:pt idx="15">
                  <c:v>129.1</c:v>
                </c:pt>
                <c:pt idx="16">
                  <c:v>132.19999999999999</c:v>
                </c:pt>
                <c:pt idx="17">
                  <c:v>133.80000000000001</c:v>
                </c:pt>
                <c:pt idx="18">
                  <c:v>135.5</c:v>
                </c:pt>
                <c:pt idx="19">
                  <c:v>157.1</c:v>
                </c:pt>
                <c:pt idx="20">
                  <c:v>155.6</c:v>
                </c:pt>
                <c:pt idx="21">
                  <c:v>145.69999999999999</c:v>
                </c:pt>
                <c:pt idx="22">
                  <c:v>141</c:v>
                </c:pt>
                <c:pt idx="23">
                  <c:v>140</c:v>
                </c:pt>
                <c:pt idx="24">
                  <c:v>143.9</c:v>
                </c:pt>
                <c:pt idx="25">
                  <c:v>147.30000000000001</c:v>
                </c:pt>
                <c:pt idx="26">
                  <c:v>143.30000000000001</c:v>
                </c:pt>
                <c:pt idx="27">
                  <c:v>145.1</c:v>
                </c:pt>
                <c:pt idx="28">
                  <c:v>143.4</c:v>
                </c:pt>
                <c:pt idx="29">
                  <c:v>149.6</c:v>
                </c:pt>
                <c:pt idx="30">
                  <c:v>136.69999999999999</c:v>
                </c:pt>
                <c:pt idx="31">
                  <c:v>159</c:v>
                </c:pt>
                <c:pt idx="32">
                  <c:v>162.4</c:v>
                </c:pt>
                <c:pt idx="33">
                  <c:v>224.3</c:v>
                </c:pt>
                <c:pt idx="34">
                  <c:v>230.3</c:v>
                </c:pt>
                <c:pt idx="35">
                  <c:v>212.8</c:v>
                </c:pt>
              </c:numCache>
            </c:numRef>
          </c:val>
          <c:smooth val="0"/>
          <c:extLst>
            <c:ext xmlns:c16="http://schemas.microsoft.com/office/drawing/2014/chart" uri="{C3380CC4-5D6E-409C-BE32-E72D297353CC}">
              <c16:uniqueId val="{00000000-F637-4EE2-A9DA-F00C41F54E36}"/>
            </c:ext>
          </c:extLst>
        </c:ser>
        <c:dLbls>
          <c:showLegendKey val="0"/>
          <c:showVal val="0"/>
          <c:showCatName val="0"/>
          <c:showSerName val="0"/>
          <c:showPercent val="0"/>
          <c:showBubbleSize val="0"/>
        </c:dLbls>
        <c:smooth val="0"/>
        <c:axId val="400790288"/>
        <c:axId val="400794880"/>
      </c:lineChart>
      <c:dateAx>
        <c:axId val="400790288"/>
        <c:scaling>
          <c:orientation val="minMax"/>
        </c:scaling>
        <c:delete val="0"/>
        <c:axPos val="b"/>
        <c:numFmt formatCode="mmm\-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4880"/>
        <c:crosses val="autoZero"/>
        <c:auto val="1"/>
        <c:lblOffset val="100"/>
        <c:baseTimeUnit val="months"/>
        <c:majorUnit val="5"/>
        <c:majorTimeUnit val="months"/>
      </c:dateAx>
      <c:valAx>
        <c:axId val="400794880"/>
        <c:scaling>
          <c:orientation val="minMax"/>
          <c:min val="60"/>
        </c:scaling>
        <c:delete val="0"/>
        <c:axPos val="l"/>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0288"/>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b="1">
          <a:solidFill>
            <a:sysClr val="windowText" lastClr="000000"/>
          </a:solidFill>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405306697922503E-2"/>
          <c:y val="8.3285151088226525E-2"/>
          <c:w val="0.90507737518897891"/>
          <c:h val="0.59997551722592679"/>
        </c:manualLayout>
      </c:layout>
      <c:barChart>
        <c:barDir val="col"/>
        <c:grouping val="clustered"/>
        <c:varyColors val="0"/>
        <c:ser>
          <c:idx val="0"/>
          <c:order val="0"/>
          <c:tx>
            <c:strRef>
              <c:f>'RESULTATS DEPUIS JANVIER'!$C$21:$C$26</c:f>
              <c:strCache>
                <c:ptCount val="6"/>
                <c:pt idx="0">
                  <c:v>+1,5%</c:v>
                </c:pt>
                <c:pt idx="1">
                  <c:v>+3,7%</c:v>
                </c:pt>
                <c:pt idx="2">
                  <c:v>+33,7%</c:v>
                </c:pt>
                <c:pt idx="3">
                  <c:v>+19,4%</c:v>
                </c:pt>
                <c:pt idx="4">
                  <c:v>+1,0%</c:v>
                </c:pt>
                <c:pt idx="5">
                  <c:v>+2,3%</c:v>
                </c:pt>
              </c:strCache>
            </c:strRef>
          </c:tx>
          <c:spPr>
            <a:solidFill>
              <a:schemeClr val="accent2"/>
            </a:solidFill>
            <a:ln>
              <a:noFill/>
            </a:ln>
            <a:effectLst/>
          </c:spPr>
          <c:invertIfNegative val="0"/>
          <c:dLbls>
            <c:dLbl>
              <c:idx val="5"/>
              <c:layout>
                <c:manualLayout>
                  <c:x val="1.2943994292411807E-2"/>
                  <c:y val="-8.358977510332536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A52-46E0-898A-879A9FBA7B53}"/>
                </c:ext>
              </c:extLst>
            </c:dLbl>
            <c:spPr>
              <a:noFill/>
              <a:ln>
                <a:noFill/>
              </a:ln>
              <a:effectLst/>
            </c:spPr>
            <c:txPr>
              <a:bodyPr rot="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'RESULTATS DEPUIS JANVIER'!$A$21:$A$26</c:f>
              <c:strCache>
                <c:ptCount val="6"/>
                <c:pt idx="0">
                  <c:v>Matériel</c:v>
                </c:pt>
                <c:pt idx="1">
                  <c:v>Travail</c:v>
                </c:pt>
                <c:pt idx="2">
                  <c:v>GNR pour les Travaux Publics</c:v>
                </c:pt>
                <c:pt idx="3">
                  <c:v>Gazole</c:v>
                </c:pt>
                <c:pt idx="4">
                  <c:v>Frais divers</c:v>
                </c:pt>
                <c:pt idx="5">
                  <c:v>Transport</c:v>
                </c:pt>
              </c:strCache>
            </c:strRef>
          </c:cat>
          <c:val>
            <c:numRef>
              <c:f>'RESULTATS DEPUIS JANVIER'!$C$21:$C$26</c:f>
              <c:numCache>
                <c:formatCode>\+0.0%;\-0.0%</c:formatCode>
                <c:ptCount val="6"/>
                <c:pt idx="0">
                  <c:v>1.5490258703289683E-2</c:v>
                </c:pt>
                <c:pt idx="1">
                  <c:v>3.6595991867557354E-2</c:v>
                </c:pt>
                <c:pt idx="2">
                  <c:v>0.33730051393021365</c:v>
                </c:pt>
                <c:pt idx="3">
                  <c:v>0.19374962748097646</c:v>
                </c:pt>
                <c:pt idx="4">
                  <c:v>9.6153846153845812E-3</c:v>
                </c:pt>
                <c:pt idx="5">
                  <c:v>2.2526146419951765E-2</c:v>
                </c:pt>
              </c:numCache>
            </c:numRef>
          </c:val>
          <c:extLst>
            <c:ext xmlns:c16="http://schemas.microsoft.com/office/drawing/2014/chart" uri="{C3380CC4-5D6E-409C-BE32-E72D297353CC}">
              <c16:uniqueId val="{00000000-D1D9-43CF-B36C-72ECFC6EFB8E}"/>
            </c:ext>
          </c:extLst>
        </c:ser>
        <c:dLbls>
          <c:showLegendKey val="0"/>
          <c:showVal val="0"/>
          <c:showCatName val="0"/>
          <c:showSerName val="0"/>
          <c:showPercent val="0"/>
          <c:showBubbleSize val="0"/>
        </c:dLbls>
        <c:gapWidth val="100"/>
        <c:overlap val="-27"/>
        <c:axId val="760814624"/>
        <c:axId val="760823480"/>
      </c:barChart>
      <c:catAx>
        <c:axId val="76081462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760823480"/>
        <c:crosses val="autoZero"/>
        <c:auto val="1"/>
        <c:lblAlgn val="ctr"/>
        <c:lblOffset val="100"/>
        <c:noMultiLvlLbl val="0"/>
      </c:catAx>
      <c:valAx>
        <c:axId val="760823480"/>
        <c:scaling>
          <c:orientation val="minMax"/>
        </c:scaling>
        <c:delete val="1"/>
        <c:axPos val="l"/>
        <c:numFmt formatCode="\+0.0%;\-0.0%" sourceLinked="1"/>
        <c:majorTickMark val="none"/>
        <c:minorTickMark val="none"/>
        <c:tickLblPos val="nextTo"/>
        <c:crossAx val="76081462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800" b="1">
          <a:solidFill>
            <a:sysClr val="windowText" lastClr="000000"/>
          </a:solidFill>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'DONNEES CUMULS DEPUIS JANVIER'!$H$14</c:f>
          <c:strCache>
            <c:ptCount val="1"/>
            <c:pt idx="0">
              <c:v>Barres crénelées ou nervurées pour béton armé</c:v>
            </c:pt>
          </c:strCache>
        </c:strRef>
      </c:tx>
      <c:layout>
        <c:manualLayout>
          <c:xMode val="edge"/>
          <c:yMode val="edge"/>
          <c:x val="0.13400674728356116"/>
          <c:y val="3.9588528678304237E-2"/>
        </c:manualLayout>
      </c:layout>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mn-lt"/>
              <a:ea typeface="+mn-ea"/>
              <a:cs typeface="+mn-cs"/>
            </a:defRPr>
          </a:pPr>
          <a:endParaRPr lang="fr-FR"/>
        </a:p>
      </c:txPr>
    </c:title>
    <c:autoTitleDeleted val="0"/>
    <c:plotArea>
      <c:layout/>
      <c:lineChart>
        <c:grouping val="standard"/>
        <c:varyColors val="0"/>
        <c:ser>
          <c:idx val="1"/>
          <c:order val="0"/>
          <c:tx>
            <c:strRef>
              <c:f>'DONNEES CUMULS DEPUIS JANVIER'!$H$14</c:f>
              <c:strCache>
                <c:ptCount val="1"/>
                <c:pt idx="0">
                  <c:v>Barres crénelées ou nervurées pour béton armé</c:v>
                </c:pt>
              </c:strCache>
            </c:strRef>
          </c:tx>
          <c:spPr>
            <a:ln w="28575" cap="rnd">
              <a:solidFill>
                <a:schemeClr val="accent6"/>
              </a:solidFill>
              <a:round/>
            </a:ln>
            <a:effectLst/>
          </c:spPr>
          <c:marker>
            <c:symbol val="none"/>
          </c:marker>
          <c:cat>
            <c:numRef>
              <c:f>'DONNEES CUMULS DEPUIS JANVIER'!$A$16:$A$51</c:f>
              <c:numCache>
                <c:formatCode>mmm\-yyyy</c:formatCode>
                <c:ptCount val="36"/>
                <c:pt idx="0">
                  <c:v>45078</c:v>
                </c:pt>
                <c:pt idx="1">
                  <c:v>45108</c:v>
                </c:pt>
                <c:pt idx="2">
                  <c:v>45139</c:v>
                </c:pt>
                <c:pt idx="3">
                  <c:v>45170</c:v>
                </c:pt>
                <c:pt idx="4">
                  <c:v>45200</c:v>
                </c:pt>
                <c:pt idx="5">
                  <c:v>45231</c:v>
                </c:pt>
                <c:pt idx="6">
                  <c:v>45261</c:v>
                </c:pt>
                <c:pt idx="7">
                  <c:v>45292</c:v>
                </c:pt>
                <c:pt idx="8">
                  <c:v>45323</c:v>
                </c:pt>
                <c:pt idx="9">
                  <c:v>45352</c:v>
                </c:pt>
                <c:pt idx="10">
                  <c:v>45383</c:v>
                </c:pt>
                <c:pt idx="11">
                  <c:v>45413</c:v>
                </c:pt>
                <c:pt idx="12">
                  <c:v>45444</c:v>
                </c:pt>
                <c:pt idx="13">
                  <c:v>45474</c:v>
                </c:pt>
                <c:pt idx="14">
                  <c:v>45505</c:v>
                </c:pt>
                <c:pt idx="15">
                  <c:v>45536</c:v>
                </c:pt>
                <c:pt idx="16">
                  <c:v>45566</c:v>
                </c:pt>
                <c:pt idx="17">
                  <c:v>45597</c:v>
                </c:pt>
                <c:pt idx="18">
                  <c:v>45627</c:v>
                </c:pt>
                <c:pt idx="19">
                  <c:v>45658</c:v>
                </c:pt>
                <c:pt idx="20">
                  <c:v>45689</c:v>
                </c:pt>
                <c:pt idx="21">
                  <c:v>45717</c:v>
                </c:pt>
                <c:pt idx="22">
                  <c:v>45748</c:v>
                </c:pt>
                <c:pt idx="23">
                  <c:v>45778</c:v>
                </c:pt>
                <c:pt idx="24">
                  <c:v>45809</c:v>
                </c:pt>
                <c:pt idx="25">
                  <c:v>45839</c:v>
                </c:pt>
                <c:pt idx="26">
                  <c:v>45870</c:v>
                </c:pt>
                <c:pt idx="27">
                  <c:v>45901</c:v>
                </c:pt>
                <c:pt idx="28">
                  <c:v>45931</c:v>
                </c:pt>
                <c:pt idx="29">
                  <c:v>45962</c:v>
                </c:pt>
                <c:pt idx="30">
                  <c:v>45992</c:v>
                </c:pt>
                <c:pt idx="31">
                  <c:v>46023</c:v>
                </c:pt>
                <c:pt idx="32">
                  <c:v>46054</c:v>
                </c:pt>
                <c:pt idx="33">
                  <c:v>46082</c:v>
                </c:pt>
                <c:pt idx="34">
                  <c:v>46113</c:v>
                </c:pt>
                <c:pt idx="35">
                  <c:v>46143</c:v>
                </c:pt>
              </c:numCache>
            </c:numRef>
          </c:cat>
          <c:val>
            <c:numRef>
              <c:f>'DONNEES CUMULS DEPUIS JANVIER'!$H$16:$H$51</c:f>
              <c:numCache>
                <c:formatCode>General</c:formatCode>
                <c:ptCount val="36"/>
                <c:pt idx="0">
                  <c:v>93.542120445046208</c:v>
                </c:pt>
                <c:pt idx="1">
                  <c:v>89.421322187555191</c:v>
                </c:pt>
                <c:pt idx="2">
                  <c:v>87.419791605345253</c:v>
                </c:pt>
                <c:pt idx="3">
                  <c:v>86.360157767704706</c:v>
                </c:pt>
                <c:pt idx="4">
                  <c:v>86.831106139989402</c:v>
                </c:pt>
                <c:pt idx="5">
                  <c:v>88.3</c:v>
                </c:pt>
                <c:pt idx="6">
                  <c:v>89.3</c:v>
                </c:pt>
                <c:pt idx="7">
                  <c:v>90.3</c:v>
                </c:pt>
                <c:pt idx="8">
                  <c:v>91.2</c:v>
                </c:pt>
                <c:pt idx="9">
                  <c:v>90.7</c:v>
                </c:pt>
                <c:pt idx="10">
                  <c:v>89.2</c:v>
                </c:pt>
                <c:pt idx="11">
                  <c:v>89</c:v>
                </c:pt>
                <c:pt idx="12">
                  <c:v>88.3</c:v>
                </c:pt>
                <c:pt idx="13">
                  <c:v>88.3</c:v>
                </c:pt>
                <c:pt idx="14">
                  <c:v>88.3</c:v>
                </c:pt>
                <c:pt idx="15">
                  <c:v>89.1</c:v>
                </c:pt>
                <c:pt idx="16">
                  <c:v>86.4</c:v>
                </c:pt>
                <c:pt idx="17">
                  <c:v>85.7</c:v>
                </c:pt>
                <c:pt idx="18">
                  <c:v>85.8</c:v>
                </c:pt>
                <c:pt idx="19">
                  <c:v>86.3</c:v>
                </c:pt>
                <c:pt idx="20">
                  <c:v>87.5</c:v>
                </c:pt>
                <c:pt idx="21">
                  <c:v>88.3</c:v>
                </c:pt>
                <c:pt idx="22">
                  <c:v>89.1</c:v>
                </c:pt>
                <c:pt idx="23">
                  <c:v>89.6</c:v>
                </c:pt>
                <c:pt idx="24">
                  <c:v>89.4</c:v>
                </c:pt>
                <c:pt idx="25">
                  <c:v>88.6</c:v>
                </c:pt>
                <c:pt idx="26">
                  <c:v>87.8</c:v>
                </c:pt>
                <c:pt idx="27">
                  <c:v>87.7</c:v>
                </c:pt>
                <c:pt idx="28">
                  <c:v>86.4</c:v>
                </c:pt>
                <c:pt idx="29">
                  <c:v>85.7</c:v>
                </c:pt>
                <c:pt idx="30">
                  <c:v>85.6</c:v>
                </c:pt>
                <c:pt idx="31">
                  <c:v>85.4</c:v>
                </c:pt>
                <c:pt idx="32">
                  <c:v>85.9</c:v>
                </c:pt>
                <c:pt idx="33">
                  <c:v>87.6</c:v>
                </c:pt>
                <c:pt idx="34">
                  <c:v>91.3</c:v>
                </c:pt>
                <c:pt idx="35">
                  <c:v>95.4</c:v>
                </c:pt>
              </c:numCache>
            </c:numRef>
          </c:val>
          <c:smooth val="0"/>
          <c:extLst>
            <c:ext xmlns:c16="http://schemas.microsoft.com/office/drawing/2014/chart" uri="{C3380CC4-5D6E-409C-BE32-E72D297353CC}">
              <c16:uniqueId val="{00000000-F7EB-4C06-AE11-8C023F98DDBD}"/>
            </c:ext>
          </c:extLst>
        </c:ser>
        <c:dLbls>
          <c:showLegendKey val="0"/>
          <c:showVal val="0"/>
          <c:showCatName val="0"/>
          <c:showSerName val="0"/>
          <c:showPercent val="0"/>
          <c:showBubbleSize val="0"/>
        </c:dLbls>
        <c:smooth val="0"/>
        <c:axId val="400790288"/>
        <c:axId val="400794880"/>
      </c:lineChart>
      <c:dateAx>
        <c:axId val="400790288"/>
        <c:scaling>
          <c:orientation val="minMax"/>
        </c:scaling>
        <c:delete val="0"/>
        <c:axPos val="b"/>
        <c:numFmt formatCode="mmm\-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4880"/>
        <c:crosses val="autoZero"/>
        <c:auto val="1"/>
        <c:lblOffset val="100"/>
        <c:baseTimeUnit val="months"/>
        <c:majorUnit val="5"/>
        <c:majorTimeUnit val="months"/>
      </c:dateAx>
      <c:valAx>
        <c:axId val="400794880"/>
        <c:scaling>
          <c:orientation val="minMax"/>
        </c:scaling>
        <c:delete val="0"/>
        <c:axPos val="l"/>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0288"/>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b="1">
          <a:solidFill>
            <a:sysClr val="windowText" lastClr="000000"/>
          </a:solidFill>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strRef>
          <c:f>'DONNEES CUMULS DEPUIS JANVIER'!$G$14</c:f>
          <c:strCache>
            <c:ptCount val="1"/>
            <c:pt idx="0">
              <c:v>Béton prêt à l'emploi</c:v>
            </c:pt>
          </c:strCache>
        </c:strRef>
      </c:tx>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mn-lt"/>
              <a:ea typeface="+mn-ea"/>
              <a:cs typeface="+mn-cs"/>
            </a:defRPr>
          </a:pPr>
          <a:endParaRPr lang="fr-FR"/>
        </a:p>
      </c:txPr>
    </c:title>
    <c:autoTitleDeleted val="0"/>
    <c:plotArea>
      <c:layout/>
      <c:lineChart>
        <c:grouping val="standard"/>
        <c:varyColors val="0"/>
        <c:ser>
          <c:idx val="0"/>
          <c:order val="0"/>
          <c:tx>
            <c:strRef>
              <c:f>'DONNEES CUMULS DEPUIS JANVIER'!$G$14</c:f>
              <c:strCache>
                <c:ptCount val="1"/>
                <c:pt idx="0">
                  <c:v>Béton prêt à l'emploi</c:v>
                </c:pt>
              </c:strCache>
            </c:strRef>
          </c:tx>
          <c:spPr>
            <a:ln w="28575" cap="rnd">
              <a:solidFill>
                <a:schemeClr val="accent6"/>
              </a:solidFill>
              <a:round/>
            </a:ln>
            <a:effectLst/>
          </c:spPr>
          <c:marker>
            <c:symbol val="none"/>
          </c:marker>
          <c:cat>
            <c:numRef>
              <c:f>'DONNEES CUMULS DEPUIS JANVIER'!$A$16:$A$51</c:f>
              <c:numCache>
                <c:formatCode>mmm\-yyyy</c:formatCode>
                <c:ptCount val="36"/>
                <c:pt idx="0">
                  <c:v>45078</c:v>
                </c:pt>
                <c:pt idx="1">
                  <c:v>45108</c:v>
                </c:pt>
                <c:pt idx="2">
                  <c:v>45139</c:v>
                </c:pt>
                <c:pt idx="3">
                  <c:v>45170</c:v>
                </c:pt>
                <c:pt idx="4">
                  <c:v>45200</c:v>
                </c:pt>
                <c:pt idx="5">
                  <c:v>45231</c:v>
                </c:pt>
                <c:pt idx="6">
                  <c:v>45261</c:v>
                </c:pt>
                <c:pt idx="7">
                  <c:v>45292</c:v>
                </c:pt>
                <c:pt idx="8">
                  <c:v>45323</c:v>
                </c:pt>
                <c:pt idx="9">
                  <c:v>45352</c:v>
                </c:pt>
                <c:pt idx="10">
                  <c:v>45383</c:v>
                </c:pt>
                <c:pt idx="11">
                  <c:v>45413</c:v>
                </c:pt>
                <c:pt idx="12">
                  <c:v>45444</c:v>
                </c:pt>
                <c:pt idx="13">
                  <c:v>45474</c:v>
                </c:pt>
                <c:pt idx="14">
                  <c:v>45505</c:v>
                </c:pt>
                <c:pt idx="15">
                  <c:v>45536</c:v>
                </c:pt>
                <c:pt idx="16">
                  <c:v>45566</c:v>
                </c:pt>
                <c:pt idx="17">
                  <c:v>45597</c:v>
                </c:pt>
                <c:pt idx="18">
                  <c:v>45627</c:v>
                </c:pt>
                <c:pt idx="19">
                  <c:v>45658</c:v>
                </c:pt>
                <c:pt idx="20">
                  <c:v>45689</c:v>
                </c:pt>
                <c:pt idx="21">
                  <c:v>45717</c:v>
                </c:pt>
                <c:pt idx="22">
                  <c:v>45748</c:v>
                </c:pt>
                <c:pt idx="23">
                  <c:v>45778</c:v>
                </c:pt>
                <c:pt idx="24">
                  <c:v>45809</c:v>
                </c:pt>
                <c:pt idx="25">
                  <c:v>45839</c:v>
                </c:pt>
                <c:pt idx="26">
                  <c:v>45870</c:v>
                </c:pt>
                <c:pt idx="27">
                  <c:v>45901</c:v>
                </c:pt>
                <c:pt idx="28">
                  <c:v>45931</c:v>
                </c:pt>
                <c:pt idx="29">
                  <c:v>45962</c:v>
                </c:pt>
                <c:pt idx="30">
                  <c:v>45992</c:v>
                </c:pt>
                <c:pt idx="31">
                  <c:v>46023</c:v>
                </c:pt>
                <c:pt idx="32">
                  <c:v>46054</c:v>
                </c:pt>
                <c:pt idx="33">
                  <c:v>46082</c:v>
                </c:pt>
                <c:pt idx="34">
                  <c:v>46113</c:v>
                </c:pt>
                <c:pt idx="35">
                  <c:v>46143</c:v>
                </c:pt>
              </c:numCache>
            </c:numRef>
          </c:cat>
          <c:val>
            <c:numRef>
              <c:f>'DONNEES CUMULS DEPUIS JANVIER'!$G$16:$G$51</c:f>
              <c:numCache>
                <c:formatCode>General</c:formatCode>
                <c:ptCount val="36"/>
                <c:pt idx="0">
                  <c:v>128.40759541267153</c:v>
                </c:pt>
                <c:pt idx="1">
                  <c:v>126.90355329949237</c:v>
                </c:pt>
                <c:pt idx="2">
                  <c:v>129.44162436548223</c:v>
                </c:pt>
                <c:pt idx="3">
                  <c:v>127.27956382778717</c:v>
                </c:pt>
                <c:pt idx="4">
                  <c:v>128.50159804474524</c:v>
                </c:pt>
                <c:pt idx="5">
                  <c:v>128.50159804474524</c:v>
                </c:pt>
                <c:pt idx="6">
                  <c:v>128.6</c:v>
                </c:pt>
                <c:pt idx="7">
                  <c:v>129.19999999999999</c:v>
                </c:pt>
                <c:pt idx="8">
                  <c:v>130.4</c:v>
                </c:pt>
                <c:pt idx="9">
                  <c:v>129.4</c:v>
                </c:pt>
                <c:pt idx="10">
                  <c:v>129.69999999999999</c:v>
                </c:pt>
                <c:pt idx="11">
                  <c:v>129</c:v>
                </c:pt>
                <c:pt idx="12">
                  <c:v>128.5</c:v>
                </c:pt>
                <c:pt idx="13">
                  <c:v>128.6</c:v>
                </c:pt>
                <c:pt idx="14">
                  <c:v>129.19999999999999</c:v>
                </c:pt>
                <c:pt idx="15">
                  <c:v>128.1</c:v>
                </c:pt>
                <c:pt idx="16">
                  <c:v>128.19999999999999</c:v>
                </c:pt>
                <c:pt idx="17">
                  <c:v>127.7</c:v>
                </c:pt>
                <c:pt idx="18">
                  <c:v>128.1</c:v>
                </c:pt>
                <c:pt idx="19">
                  <c:v>131.19999999999999</c:v>
                </c:pt>
                <c:pt idx="20">
                  <c:v>130.19999999999999</c:v>
                </c:pt>
                <c:pt idx="21">
                  <c:v>130.1</c:v>
                </c:pt>
                <c:pt idx="22">
                  <c:v>131.5</c:v>
                </c:pt>
                <c:pt idx="23">
                  <c:v>131.69999999999999</c:v>
                </c:pt>
                <c:pt idx="24">
                  <c:v>130.69999999999999</c:v>
                </c:pt>
                <c:pt idx="25">
                  <c:v>131.30000000000001</c:v>
                </c:pt>
                <c:pt idx="26">
                  <c:v>132.69999999999999</c:v>
                </c:pt>
                <c:pt idx="27">
                  <c:v>131.30000000000001</c:v>
                </c:pt>
                <c:pt idx="28">
                  <c:v>131.69999999999999</c:v>
                </c:pt>
                <c:pt idx="29">
                  <c:v>131.6</c:v>
                </c:pt>
                <c:pt idx="30">
                  <c:v>131.19999999999999</c:v>
                </c:pt>
                <c:pt idx="31">
                  <c:v>133.4</c:v>
                </c:pt>
                <c:pt idx="32">
                  <c:v>133.4</c:v>
                </c:pt>
                <c:pt idx="33">
                  <c:v>133.69999999999999</c:v>
                </c:pt>
                <c:pt idx="34">
                  <c:v>137.5</c:v>
                </c:pt>
                <c:pt idx="35">
                  <c:v>136.5</c:v>
                </c:pt>
              </c:numCache>
            </c:numRef>
          </c:val>
          <c:smooth val="0"/>
          <c:extLst>
            <c:ext xmlns:c16="http://schemas.microsoft.com/office/drawing/2014/chart" uri="{C3380CC4-5D6E-409C-BE32-E72D297353CC}">
              <c16:uniqueId val="{00000001-96BF-4B1A-94DC-88DD1FC764A2}"/>
            </c:ext>
          </c:extLst>
        </c:ser>
        <c:dLbls>
          <c:showLegendKey val="0"/>
          <c:showVal val="0"/>
          <c:showCatName val="0"/>
          <c:showSerName val="0"/>
          <c:showPercent val="0"/>
          <c:showBubbleSize val="0"/>
        </c:dLbls>
        <c:smooth val="0"/>
        <c:axId val="400790288"/>
        <c:axId val="400794880"/>
      </c:lineChart>
      <c:dateAx>
        <c:axId val="400790288"/>
        <c:scaling>
          <c:orientation val="minMax"/>
        </c:scaling>
        <c:delete val="0"/>
        <c:axPos val="b"/>
        <c:numFmt formatCode="mmm\-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4880"/>
        <c:crosses val="autoZero"/>
        <c:auto val="1"/>
        <c:lblOffset val="100"/>
        <c:baseTimeUnit val="months"/>
        <c:majorUnit val="5"/>
        <c:majorTimeUnit val="months"/>
      </c:dateAx>
      <c:valAx>
        <c:axId val="400794880"/>
        <c:scaling>
          <c:orientation val="minMax"/>
        </c:scaling>
        <c:delete val="0"/>
        <c:axPos val="l"/>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0288"/>
        <c:crosses val="autoZero"/>
        <c:crossBetween val="between"/>
      </c:valAx>
      <c:spPr>
        <a:noFill/>
        <a:ln>
          <a:noFill/>
        </a:ln>
        <a:effectLst/>
      </c:spPr>
    </c:plotArea>
    <c:plotVisOnly val="0"/>
    <c:dispBlanksAs val="gap"/>
    <c:showDLblsOverMax val="0"/>
    <c:extLst/>
  </c:chart>
  <c:spPr>
    <a:noFill/>
    <a:ln w="9525" cap="flat" cmpd="sng" algn="ctr">
      <a:noFill/>
      <a:round/>
    </a:ln>
    <a:effectLst/>
  </c:spPr>
  <c:txPr>
    <a:bodyPr/>
    <a:lstStyle/>
    <a:p>
      <a:pPr>
        <a:defRPr b="1">
          <a:solidFill>
            <a:sysClr val="windowText" lastClr="000000"/>
          </a:solidFill>
        </a:defRPr>
      </a:pPr>
      <a:endParaRPr lang="fr-FR"/>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252323873340708E-2"/>
          <c:y val="0.1969448171026873"/>
          <c:w val="0.86031640206901316"/>
          <c:h val="0.49461737603053801"/>
        </c:manualLayout>
      </c:layout>
      <c:lineChart>
        <c:grouping val="standard"/>
        <c:varyColors val="0"/>
        <c:ser>
          <c:idx val="0"/>
          <c:order val="0"/>
          <c:tx>
            <c:strRef>
              <c:f>'DONNEES 3-6 MOIS'!$B$14</c:f>
              <c:strCache>
                <c:ptCount val="1"/>
                <c:pt idx="0">
                  <c:v>TP01</c:v>
                </c:pt>
              </c:strCache>
            </c:strRef>
          </c:tx>
          <c:spPr>
            <a:ln w="28575" cap="rnd">
              <a:solidFill>
                <a:schemeClr val="accent1"/>
              </a:solidFill>
              <a:round/>
            </a:ln>
            <a:effectLst/>
          </c:spPr>
          <c:marker>
            <c:symbol val="none"/>
          </c:marker>
          <c:cat>
            <c:numRef>
              <c:f>'DONNEES 3-6 MOIS'!$A$16:$A$27</c:f>
              <c:numCache>
                <c:formatCode>mmm\-yyyy</c:formatCode>
                <c:ptCount val="12"/>
                <c:pt idx="0">
                  <c:v>45809</c:v>
                </c:pt>
                <c:pt idx="1">
                  <c:v>45839</c:v>
                </c:pt>
                <c:pt idx="2">
                  <c:v>45870</c:v>
                </c:pt>
                <c:pt idx="3">
                  <c:v>45901</c:v>
                </c:pt>
                <c:pt idx="4">
                  <c:v>45931</c:v>
                </c:pt>
                <c:pt idx="5">
                  <c:v>45962</c:v>
                </c:pt>
                <c:pt idx="6">
                  <c:v>45992</c:v>
                </c:pt>
                <c:pt idx="7">
                  <c:v>46023</c:v>
                </c:pt>
                <c:pt idx="8">
                  <c:v>46054</c:v>
                </c:pt>
                <c:pt idx="9">
                  <c:v>46082</c:v>
                </c:pt>
                <c:pt idx="10">
                  <c:v>46113</c:v>
                </c:pt>
                <c:pt idx="11">
                  <c:v>46143</c:v>
                </c:pt>
              </c:numCache>
            </c:numRef>
          </c:cat>
          <c:val>
            <c:numRef>
              <c:f>'DONNEES 3-6 MOIS'!$B$16:$B$51</c:f>
              <c:numCache>
                <c:formatCode>General</c:formatCode>
                <c:ptCount val="36"/>
                <c:pt idx="0">
                  <c:v>130.5</c:v>
                </c:pt>
                <c:pt idx="1">
                  <c:v>131</c:v>
                </c:pt>
                <c:pt idx="2">
                  <c:v>131.4</c:v>
                </c:pt>
                <c:pt idx="3">
                  <c:v>130.69999999999999</c:v>
                </c:pt>
                <c:pt idx="4">
                  <c:v>130.5</c:v>
                </c:pt>
                <c:pt idx="5">
                  <c:v>130.80000000000001</c:v>
                </c:pt>
                <c:pt idx="6">
                  <c:v>130.30000000000001</c:v>
                </c:pt>
                <c:pt idx="7">
                  <c:v>131.4</c:v>
                </c:pt>
                <c:pt idx="8">
                  <c:v>132.19999999999999</c:v>
                </c:pt>
                <c:pt idx="9">
                  <c:v>136.30000000000001</c:v>
                </c:pt>
                <c:pt idx="10">
                  <c:v>141</c:v>
                </c:pt>
                <c:pt idx="11">
                  <c:v>140.4</c:v>
                </c:pt>
              </c:numCache>
            </c:numRef>
          </c:val>
          <c:smooth val="0"/>
          <c:extLst>
            <c:ext xmlns:c16="http://schemas.microsoft.com/office/drawing/2014/chart" uri="{C3380CC4-5D6E-409C-BE32-E72D297353CC}">
              <c16:uniqueId val="{00000000-A23C-4D22-A522-A1BBEE574A86}"/>
            </c:ext>
          </c:extLst>
        </c:ser>
        <c:ser>
          <c:idx val="1"/>
          <c:order val="1"/>
          <c:tx>
            <c:strRef>
              <c:f>'DONNEES 3-6 MOIS'!$C$14</c:f>
              <c:strCache>
                <c:ptCount val="1"/>
                <c:pt idx="0">
                  <c:v>TP02</c:v>
                </c:pt>
              </c:strCache>
            </c:strRef>
          </c:tx>
          <c:spPr>
            <a:ln w="28575" cap="rnd">
              <a:solidFill>
                <a:schemeClr val="accent6"/>
              </a:solidFill>
              <a:round/>
            </a:ln>
            <a:effectLst/>
          </c:spPr>
          <c:marker>
            <c:symbol val="none"/>
          </c:marker>
          <c:dPt>
            <c:idx val="11"/>
            <c:marker>
              <c:symbol val="none"/>
            </c:marker>
            <c:bubble3D val="0"/>
            <c:extLst>
              <c:ext xmlns:c16="http://schemas.microsoft.com/office/drawing/2014/chart" uri="{C3380CC4-5D6E-409C-BE32-E72D297353CC}">
                <c16:uniqueId val="{00000000-C948-4BE5-A94D-52237DBE89A0}"/>
              </c:ext>
            </c:extLst>
          </c:dPt>
          <c:cat>
            <c:numRef>
              <c:f>'DONNEES 3-6 MOIS'!$A$16:$A$27</c:f>
              <c:numCache>
                <c:formatCode>mmm\-yyyy</c:formatCode>
                <c:ptCount val="12"/>
                <c:pt idx="0">
                  <c:v>45809</c:v>
                </c:pt>
                <c:pt idx="1">
                  <c:v>45839</c:v>
                </c:pt>
                <c:pt idx="2">
                  <c:v>45870</c:v>
                </c:pt>
                <c:pt idx="3">
                  <c:v>45901</c:v>
                </c:pt>
                <c:pt idx="4">
                  <c:v>45931</c:v>
                </c:pt>
                <c:pt idx="5">
                  <c:v>45962</c:v>
                </c:pt>
                <c:pt idx="6">
                  <c:v>45992</c:v>
                </c:pt>
                <c:pt idx="7">
                  <c:v>46023</c:v>
                </c:pt>
                <c:pt idx="8">
                  <c:v>46054</c:v>
                </c:pt>
                <c:pt idx="9">
                  <c:v>46082</c:v>
                </c:pt>
                <c:pt idx="10">
                  <c:v>46113</c:v>
                </c:pt>
                <c:pt idx="11">
                  <c:v>46143</c:v>
                </c:pt>
              </c:numCache>
            </c:numRef>
          </c:cat>
          <c:val>
            <c:numRef>
              <c:f>'DONNEES 3-6 MOIS'!$C$16:$C$51</c:f>
              <c:numCache>
                <c:formatCode>General</c:formatCode>
                <c:ptCount val="36"/>
                <c:pt idx="0">
                  <c:v>135</c:v>
                </c:pt>
                <c:pt idx="1">
                  <c:v>135.19999999999999</c:v>
                </c:pt>
                <c:pt idx="2">
                  <c:v>136.1</c:v>
                </c:pt>
                <c:pt idx="3">
                  <c:v>135.69999999999999</c:v>
                </c:pt>
                <c:pt idx="4">
                  <c:v>135.69999999999999</c:v>
                </c:pt>
                <c:pt idx="5">
                  <c:v>135.80000000000001</c:v>
                </c:pt>
                <c:pt idx="6">
                  <c:v>136.1</c:v>
                </c:pt>
                <c:pt idx="7">
                  <c:v>137.5</c:v>
                </c:pt>
                <c:pt idx="8">
                  <c:v>137.5</c:v>
                </c:pt>
                <c:pt idx="9">
                  <c:v>138.9</c:v>
                </c:pt>
                <c:pt idx="10">
                  <c:v>140.69999999999999</c:v>
                </c:pt>
                <c:pt idx="11">
                  <c:v>141</c:v>
                </c:pt>
              </c:numCache>
            </c:numRef>
          </c:val>
          <c:smooth val="0"/>
          <c:extLst>
            <c:ext xmlns:c16="http://schemas.microsoft.com/office/drawing/2014/chart" uri="{C3380CC4-5D6E-409C-BE32-E72D297353CC}">
              <c16:uniqueId val="{00000004-A23C-4D22-A522-A1BBEE574A86}"/>
            </c:ext>
          </c:extLst>
        </c:ser>
        <c:dLbls>
          <c:showLegendKey val="0"/>
          <c:showVal val="0"/>
          <c:showCatName val="0"/>
          <c:showSerName val="0"/>
          <c:showPercent val="0"/>
          <c:showBubbleSize val="0"/>
        </c:dLbls>
        <c:smooth val="0"/>
        <c:axId val="412954848"/>
        <c:axId val="412955176"/>
      </c:lineChart>
      <c:dateAx>
        <c:axId val="412954848"/>
        <c:scaling>
          <c:orientation val="minMax"/>
        </c:scaling>
        <c:delete val="0"/>
        <c:axPos val="b"/>
        <c:numFmt formatCode="mmm\-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12955176"/>
        <c:crosses val="autoZero"/>
        <c:auto val="1"/>
        <c:lblOffset val="100"/>
        <c:baseTimeUnit val="months"/>
        <c:majorUnit val="1"/>
        <c:majorTimeUnit val="months"/>
      </c:dateAx>
      <c:valAx>
        <c:axId val="412955176"/>
        <c:scaling>
          <c:orientation val="minMax"/>
          <c:min val="11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12954848"/>
        <c:crosses val="autoZero"/>
        <c:crossBetween val="midCat"/>
      </c:valAx>
      <c:spPr>
        <a:noFill/>
        <a:ln>
          <a:noFill/>
        </a:ln>
        <a:effectLst/>
      </c:spPr>
    </c:plotArea>
    <c:legend>
      <c:legendPos val="t"/>
      <c:overlay val="0"/>
      <c:spPr>
        <a:noFill/>
        <a:ln>
          <a:noFill/>
        </a:ln>
        <a:effectLst/>
      </c:spPr>
      <c:txPr>
        <a:bodyPr rot="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800" b="1">
          <a:solidFill>
            <a:sysClr val="windowText" lastClr="000000"/>
          </a:solidFill>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jpe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drawing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4.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image" Target="../media/image7.jpeg"/></Relationships>
</file>

<file path=xl/drawings/_rels/drawing5.xml.rels><?xml version="1.0" encoding="UTF-8" standalone="yes"?>
<Relationships xmlns="http://schemas.openxmlformats.org/package/2006/relationships"><Relationship Id="rId8" Type="http://schemas.openxmlformats.org/officeDocument/2006/relationships/chart" Target="../charts/chart16.xml"/><Relationship Id="rId3" Type="http://schemas.openxmlformats.org/officeDocument/2006/relationships/chart" Target="../charts/chart11.xml"/><Relationship Id="rId7" Type="http://schemas.openxmlformats.org/officeDocument/2006/relationships/chart" Target="../charts/chart15.xml"/><Relationship Id="rId2" Type="http://schemas.openxmlformats.org/officeDocument/2006/relationships/chart" Target="../charts/chart10.xml"/><Relationship Id="rId1" Type="http://schemas.openxmlformats.org/officeDocument/2006/relationships/chart" Target="../charts/chart9.xml"/><Relationship Id="rId6" Type="http://schemas.openxmlformats.org/officeDocument/2006/relationships/chart" Target="../charts/chart14.xml"/><Relationship Id="rId5" Type="http://schemas.openxmlformats.org/officeDocument/2006/relationships/chart" Target="../charts/chart13.xml"/><Relationship Id="rId4" Type="http://schemas.openxmlformats.org/officeDocument/2006/relationships/chart" Target="../charts/chart12.xml"/><Relationship Id="rId9" Type="http://schemas.openxmlformats.org/officeDocument/2006/relationships/image" Target="../media/image8.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8.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png"/><Relationship Id="rId1" Type="http://schemas.openxmlformats.org/officeDocument/2006/relationships/image" Target="../media/image10.png"/><Relationship Id="rId4" Type="http://schemas.openxmlformats.org/officeDocument/2006/relationships/image" Target="../media/image12.jpeg"/></Relationships>
</file>

<file path=xl/drawings/_rels/drawing9.xml.rels><?xml version="1.0" encoding="UTF-8" standalone="yes"?>
<Relationships xmlns="http://schemas.openxmlformats.org/package/2006/relationships"><Relationship Id="rId8" Type="http://schemas.openxmlformats.org/officeDocument/2006/relationships/chart" Target="../charts/chart24.xml"/><Relationship Id="rId3" Type="http://schemas.openxmlformats.org/officeDocument/2006/relationships/chart" Target="../charts/chart19.xml"/><Relationship Id="rId7" Type="http://schemas.openxmlformats.org/officeDocument/2006/relationships/chart" Target="../charts/chart23.xml"/><Relationship Id="rId2" Type="http://schemas.openxmlformats.org/officeDocument/2006/relationships/chart" Target="../charts/chart18.xml"/><Relationship Id="rId1" Type="http://schemas.openxmlformats.org/officeDocument/2006/relationships/chart" Target="../charts/chart17.xml"/><Relationship Id="rId6" Type="http://schemas.openxmlformats.org/officeDocument/2006/relationships/chart" Target="../charts/chart22.xml"/><Relationship Id="rId5" Type="http://schemas.openxmlformats.org/officeDocument/2006/relationships/chart" Target="../charts/chart21.xml"/><Relationship Id="rId4" Type="http://schemas.openxmlformats.org/officeDocument/2006/relationships/chart" Target="../charts/chart20.xml"/></Relationships>
</file>

<file path=xl/drawings/drawing1.xml><?xml version="1.0" encoding="utf-8"?>
<xdr:wsDr xmlns:xdr="http://schemas.openxmlformats.org/drawingml/2006/spreadsheetDrawing" xmlns:a="http://schemas.openxmlformats.org/drawingml/2006/main">
  <xdr:twoCellAnchor editAs="oneCell">
    <xdr:from>
      <xdr:col>2</xdr:col>
      <xdr:colOff>48581</xdr:colOff>
      <xdr:row>34</xdr:row>
      <xdr:rowOff>38100</xdr:rowOff>
    </xdr:from>
    <xdr:to>
      <xdr:col>3</xdr:col>
      <xdr:colOff>311918</xdr:colOff>
      <xdr:row>44</xdr:row>
      <xdr:rowOff>38100</xdr:rowOff>
    </xdr:to>
    <xdr:pic>
      <xdr:nvPicPr>
        <xdr:cNvPr id="2" name="Image 1">
          <a:extLst>
            <a:ext uri="{FF2B5EF4-FFF2-40B4-BE49-F238E27FC236}">
              <a16:creationId xmlns:a16="http://schemas.microsoft.com/office/drawing/2014/main" id="{726DDC40-7B55-49D1-B8BD-52D333E0F83C}"/>
            </a:ext>
          </a:extLst>
        </xdr:cNvPr>
        <xdr:cNvPicPr>
          <a:picLocks noChangeAspect="1"/>
        </xdr:cNvPicPr>
      </xdr:nvPicPr>
      <xdr:blipFill rotWithShape="1">
        <a:blip xmlns:r="http://schemas.openxmlformats.org/officeDocument/2006/relationships" r:embed="rId1"/>
        <a:srcRect t="2569" b="2512"/>
        <a:stretch/>
      </xdr:blipFill>
      <xdr:spPr>
        <a:xfrm>
          <a:off x="3620456" y="5219700"/>
          <a:ext cx="2825562" cy="1905000"/>
        </a:xfrm>
        <a:prstGeom prst="rect">
          <a:avLst/>
        </a:prstGeom>
      </xdr:spPr>
    </xdr:pic>
    <xdr:clientData/>
  </xdr:twoCellAnchor>
  <xdr:twoCellAnchor editAs="oneCell">
    <xdr:from>
      <xdr:col>2</xdr:col>
      <xdr:colOff>904875</xdr:colOff>
      <xdr:row>29</xdr:row>
      <xdr:rowOff>42462</xdr:rowOff>
    </xdr:from>
    <xdr:to>
      <xdr:col>2</xdr:col>
      <xdr:colOff>1866900</xdr:colOff>
      <xdr:row>33</xdr:row>
      <xdr:rowOff>1580</xdr:rowOff>
    </xdr:to>
    <xdr:pic>
      <xdr:nvPicPr>
        <xdr:cNvPr id="3" name="Image 2">
          <a:extLst>
            <a:ext uri="{FF2B5EF4-FFF2-40B4-BE49-F238E27FC236}">
              <a16:creationId xmlns:a16="http://schemas.microsoft.com/office/drawing/2014/main" id="{A70C175F-D5AE-43A1-BEEB-648A9DB83004}"/>
            </a:ext>
          </a:extLst>
        </xdr:cNvPr>
        <xdr:cNvPicPr>
          <a:picLocks noChangeAspect="1"/>
        </xdr:cNvPicPr>
      </xdr:nvPicPr>
      <xdr:blipFill rotWithShape="1">
        <a:blip xmlns:r="http://schemas.openxmlformats.org/officeDocument/2006/relationships" r:embed="rId2"/>
        <a:srcRect t="25466" r="88345" b="59140"/>
        <a:stretch/>
      </xdr:blipFill>
      <xdr:spPr>
        <a:xfrm>
          <a:off x="4476750" y="4462062"/>
          <a:ext cx="962025" cy="714768"/>
        </a:xfrm>
        <a:prstGeom prst="rect">
          <a:avLst/>
        </a:prstGeom>
      </xdr:spPr>
    </xdr:pic>
    <xdr:clientData/>
  </xdr:twoCellAnchor>
  <xdr:twoCellAnchor>
    <xdr:from>
      <xdr:col>1</xdr:col>
      <xdr:colOff>2790825</xdr:colOff>
      <xdr:row>31</xdr:row>
      <xdr:rowOff>95250</xdr:rowOff>
    </xdr:from>
    <xdr:to>
      <xdr:col>2</xdr:col>
      <xdr:colOff>1152525</xdr:colOff>
      <xdr:row>32</xdr:row>
      <xdr:rowOff>85725</xdr:rowOff>
    </xdr:to>
    <xdr:cxnSp macro="">
      <xdr:nvCxnSpPr>
        <xdr:cNvPr id="4" name="Connecteur droit avec flèche 3">
          <a:extLst>
            <a:ext uri="{FF2B5EF4-FFF2-40B4-BE49-F238E27FC236}">
              <a16:creationId xmlns:a16="http://schemas.microsoft.com/office/drawing/2014/main" id="{9C317D09-5273-403F-98CF-FBCBBA64C728}"/>
            </a:ext>
          </a:extLst>
        </xdr:cNvPr>
        <xdr:cNvCxnSpPr/>
      </xdr:nvCxnSpPr>
      <xdr:spPr>
        <a:xfrm>
          <a:off x="3248025" y="4819650"/>
          <a:ext cx="1476375" cy="142875"/>
        </a:xfrm>
        <a:prstGeom prst="straightConnector1">
          <a:avLst/>
        </a:prstGeom>
        <a:ln w="28575">
          <a:solidFill>
            <a:schemeClr val="accent6"/>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1295400</xdr:colOff>
      <xdr:row>31</xdr:row>
      <xdr:rowOff>0</xdr:rowOff>
    </xdr:from>
    <xdr:to>
      <xdr:col>2</xdr:col>
      <xdr:colOff>1943100</xdr:colOff>
      <xdr:row>34</xdr:row>
      <xdr:rowOff>66675</xdr:rowOff>
    </xdr:to>
    <xdr:sp macro="" textlink="">
      <xdr:nvSpPr>
        <xdr:cNvPr id="5" name="Ellipse 4">
          <a:extLst>
            <a:ext uri="{FF2B5EF4-FFF2-40B4-BE49-F238E27FC236}">
              <a16:creationId xmlns:a16="http://schemas.microsoft.com/office/drawing/2014/main" id="{FA1AFB48-98AE-429C-AEAD-1127B5CFC561}"/>
            </a:ext>
          </a:extLst>
        </xdr:cNvPr>
        <xdr:cNvSpPr/>
      </xdr:nvSpPr>
      <xdr:spPr>
        <a:xfrm>
          <a:off x="4867275" y="4724400"/>
          <a:ext cx="647700" cy="523875"/>
        </a:xfrm>
        <a:prstGeom prst="ellipse">
          <a:avLst/>
        </a:prstGeom>
        <a:solidFill>
          <a:srgbClr val="FF8200">
            <a:alpha val="10196"/>
          </a:srgbClr>
        </a:solidFill>
        <a:ln w="19050">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editAs="oneCell">
    <xdr:from>
      <xdr:col>2</xdr:col>
      <xdr:colOff>238125</xdr:colOff>
      <xdr:row>48</xdr:row>
      <xdr:rowOff>9525</xdr:rowOff>
    </xdr:from>
    <xdr:to>
      <xdr:col>2</xdr:col>
      <xdr:colOff>2552700</xdr:colOff>
      <xdr:row>56</xdr:row>
      <xdr:rowOff>47117</xdr:rowOff>
    </xdr:to>
    <xdr:pic>
      <xdr:nvPicPr>
        <xdr:cNvPr id="6" name="Image 5">
          <a:extLst>
            <a:ext uri="{FF2B5EF4-FFF2-40B4-BE49-F238E27FC236}">
              <a16:creationId xmlns:a16="http://schemas.microsoft.com/office/drawing/2014/main" id="{5BACAD87-7607-424D-BCD6-418AD3942E99}"/>
            </a:ext>
          </a:extLst>
        </xdr:cNvPr>
        <xdr:cNvPicPr>
          <a:picLocks noChangeAspect="1"/>
        </xdr:cNvPicPr>
      </xdr:nvPicPr>
      <xdr:blipFill rotWithShape="1">
        <a:blip xmlns:r="http://schemas.openxmlformats.org/officeDocument/2006/relationships" r:embed="rId3"/>
        <a:srcRect t="1166" r="1961" b="51963"/>
        <a:stretch/>
      </xdr:blipFill>
      <xdr:spPr>
        <a:xfrm>
          <a:off x="3810000" y="7324725"/>
          <a:ext cx="2314575" cy="1561592"/>
        </a:xfrm>
        <a:prstGeom prst="rect">
          <a:avLst/>
        </a:prstGeom>
      </xdr:spPr>
    </xdr:pic>
    <xdr:clientData/>
  </xdr:twoCellAnchor>
  <xdr:twoCellAnchor editAs="oneCell">
    <xdr:from>
      <xdr:col>2</xdr:col>
      <xdr:colOff>361951</xdr:colOff>
      <xdr:row>17</xdr:row>
      <xdr:rowOff>19050</xdr:rowOff>
    </xdr:from>
    <xdr:to>
      <xdr:col>3</xdr:col>
      <xdr:colOff>141224</xdr:colOff>
      <xdr:row>25</xdr:row>
      <xdr:rowOff>133350</xdr:rowOff>
    </xdr:to>
    <xdr:pic>
      <xdr:nvPicPr>
        <xdr:cNvPr id="7" name="Image 6">
          <a:extLst>
            <a:ext uri="{FF2B5EF4-FFF2-40B4-BE49-F238E27FC236}">
              <a16:creationId xmlns:a16="http://schemas.microsoft.com/office/drawing/2014/main" id="{B7D6FAB5-5905-47C5-82BF-A44A6945F2E6}"/>
            </a:ext>
          </a:extLst>
        </xdr:cNvPr>
        <xdr:cNvPicPr>
          <a:picLocks noChangeAspect="1"/>
        </xdr:cNvPicPr>
      </xdr:nvPicPr>
      <xdr:blipFill rotWithShape="1">
        <a:blip xmlns:r="http://schemas.openxmlformats.org/officeDocument/2006/relationships" r:embed="rId4"/>
        <a:srcRect l="2187" b="51593"/>
        <a:stretch/>
      </xdr:blipFill>
      <xdr:spPr>
        <a:xfrm>
          <a:off x="3933826" y="2609850"/>
          <a:ext cx="2341498" cy="1638300"/>
        </a:xfrm>
        <a:prstGeom prst="rect">
          <a:avLst/>
        </a:prstGeom>
      </xdr:spPr>
    </xdr:pic>
    <xdr:clientData/>
  </xdr:twoCellAnchor>
  <xdr:twoCellAnchor editAs="oneCell">
    <xdr:from>
      <xdr:col>2</xdr:col>
      <xdr:colOff>48581</xdr:colOff>
      <xdr:row>34</xdr:row>
      <xdr:rowOff>66675</xdr:rowOff>
    </xdr:from>
    <xdr:to>
      <xdr:col>3</xdr:col>
      <xdr:colOff>311918</xdr:colOff>
      <xdr:row>44</xdr:row>
      <xdr:rowOff>66675</xdr:rowOff>
    </xdr:to>
    <xdr:pic>
      <xdr:nvPicPr>
        <xdr:cNvPr id="29" name="Image 28">
          <a:extLst>
            <a:ext uri="{FF2B5EF4-FFF2-40B4-BE49-F238E27FC236}">
              <a16:creationId xmlns:a16="http://schemas.microsoft.com/office/drawing/2014/main" id="{1DBC9EA4-9753-4B96-B866-A7E07288185A}"/>
            </a:ext>
          </a:extLst>
        </xdr:cNvPr>
        <xdr:cNvPicPr>
          <a:picLocks noChangeAspect="1"/>
        </xdr:cNvPicPr>
      </xdr:nvPicPr>
      <xdr:blipFill rotWithShape="1">
        <a:blip xmlns:r="http://schemas.openxmlformats.org/officeDocument/2006/relationships" r:embed="rId1"/>
        <a:srcRect t="2569" b="2512"/>
        <a:stretch/>
      </xdr:blipFill>
      <xdr:spPr>
        <a:xfrm>
          <a:off x="3620456" y="6667500"/>
          <a:ext cx="2825562" cy="1905000"/>
        </a:xfrm>
        <a:prstGeom prst="rect">
          <a:avLst/>
        </a:prstGeom>
      </xdr:spPr>
    </xdr:pic>
    <xdr:clientData/>
  </xdr:twoCellAnchor>
  <xdr:twoCellAnchor editAs="oneCell">
    <xdr:from>
      <xdr:col>2</xdr:col>
      <xdr:colOff>904875</xdr:colOff>
      <xdr:row>29</xdr:row>
      <xdr:rowOff>42462</xdr:rowOff>
    </xdr:from>
    <xdr:to>
      <xdr:col>2</xdr:col>
      <xdr:colOff>1866900</xdr:colOff>
      <xdr:row>33</xdr:row>
      <xdr:rowOff>1580</xdr:rowOff>
    </xdr:to>
    <xdr:pic>
      <xdr:nvPicPr>
        <xdr:cNvPr id="30" name="Image 29">
          <a:extLst>
            <a:ext uri="{FF2B5EF4-FFF2-40B4-BE49-F238E27FC236}">
              <a16:creationId xmlns:a16="http://schemas.microsoft.com/office/drawing/2014/main" id="{F331ED65-F24B-47D4-9227-2D8D8B16BD7F}"/>
            </a:ext>
          </a:extLst>
        </xdr:cNvPr>
        <xdr:cNvPicPr>
          <a:picLocks noChangeAspect="1"/>
        </xdr:cNvPicPr>
      </xdr:nvPicPr>
      <xdr:blipFill rotWithShape="1">
        <a:blip xmlns:r="http://schemas.openxmlformats.org/officeDocument/2006/relationships" r:embed="rId2"/>
        <a:srcRect t="25466" r="88345" b="59140"/>
        <a:stretch/>
      </xdr:blipFill>
      <xdr:spPr>
        <a:xfrm>
          <a:off x="4476750" y="4462062"/>
          <a:ext cx="962025" cy="714768"/>
        </a:xfrm>
        <a:prstGeom prst="rect">
          <a:avLst/>
        </a:prstGeom>
      </xdr:spPr>
    </xdr:pic>
    <xdr:clientData/>
  </xdr:twoCellAnchor>
  <xdr:twoCellAnchor>
    <xdr:from>
      <xdr:col>1</xdr:col>
      <xdr:colOff>2790825</xdr:colOff>
      <xdr:row>31</xdr:row>
      <xdr:rowOff>95250</xdr:rowOff>
    </xdr:from>
    <xdr:to>
      <xdr:col>2</xdr:col>
      <xdr:colOff>1152525</xdr:colOff>
      <xdr:row>32</xdr:row>
      <xdr:rowOff>85725</xdr:rowOff>
    </xdr:to>
    <xdr:cxnSp macro="">
      <xdr:nvCxnSpPr>
        <xdr:cNvPr id="31" name="Connecteur droit avec flèche 30">
          <a:extLst>
            <a:ext uri="{FF2B5EF4-FFF2-40B4-BE49-F238E27FC236}">
              <a16:creationId xmlns:a16="http://schemas.microsoft.com/office/drawing/2014/main" id="{58065391-DCE2-4441-B2E7-6232C7622EC2}"/>
            </a:ext>
          </a:extLst>
        </xdr:cNvPr>
        <xdr:cNvCxnSpPr/>
      </xdr:nvCxnSpPr>
      <xdr:spPr>
        <a:xfrm>
          <a:off x="3248025" y="4819650"/>
          <a:ext cx="1476375" cy="142875"/>
        </a:xfrm>
        <a:prstGeom prst="straightConnector1">
          <a:avLst/>
        </a:prstGeom>
        <a:ln w="28575">
          <a:solidFill>
            <a:schemeClr val="accent6"/>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1295400</xdr:colOff>
      <xdr:row>31</xdr:row>
      <xdr:rowOff>0</xdr:rowOff>
    </xdr:from>
    <xdr:to>
      <xdr:col>2</xdr:col>
      <xdr:colOff>1943100</xdr:colOff>
      <xdr:row>34</xdr:row>
      <xdr:rowOff>66675</xdr:rowOff>
    </xdr:to>
    <xdr:sp macro="" textlink="">
      <xdr:nvSpPr>
        <xdr:cNvPr id="32" name="Ellipse 31">
          <a:extLst>
            <a:ext uri="{FF2B5EF4-FFF2-40B4-BE49-F238E27FC236}">
              <a16:creationId xmlns:a16="http://schemas.microsoft.com/office/drawing/2014/main" id="{530AE317-94DF-4FF7-8CFF-AF511F427E0E}"/>
            </a:ext>
          </a:extLst>
        </xdr:cNvPr>
        <xdr:cNvSpPr/>
      </xdr:nvSpPr>
      <xdr:spPr>
        <a:xfrm>
          <a:off x="4867275" y="4724400"/>
          <a:ext cx="647700" cy="523875"/>
        </a:xfrm>
        <a:prstGeom prst="ellipse">
          <a:avLst/>
        </a:prstGeom>
        <a:solidFill>
          <a:srgbClr val="FF8200">
            <a:alpha val="10196"/>
          </a:srgbClr>
        </a:solidFill>
        <a:ln w="19050">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editAs="oneCell">
    <xdr:from>
      <xdr:col>2</xdr:col>
      <xdr:colOff>276225</xdr:colOff>
      <xdr:row>49</xdr:row>
      <xdr:rowOff>19050</xdr:rowOff>
    </xdr:from>
    <xdr:to>
      <xdr:col>3</xdr:col>
      <xdr:colOff>28575</xdr:colOff>
      <xdr:row>57</xdr:row>
      <xdr:rowOff>56642</xdr:rowOff>
    </xdr:to>
    <xdr:pic>
      <xdr:nvPicPr>
        <xdr:cNvPr id="33" name="Image 32">
          <a:extLst>
            <a:ext uri="{FF2B5EF4-FFF2-40B4-BE49-F238E27FC236}">
              <a16:creationId xmlns:a16="http://schemas.microsoft.com/office/drawing/2014/main" id="{D70CEBCB-1A7F-42E3-A04D-C065C42462F2}"/>
            </a:ext>
          </a:extLst>
        </xdr:cNvPr>
        <xdr:cNvPicPr>
          <a:picLocks noChangeAspect="1"/>
        </xdr:cNvPicPr>
      </xdr:nvPicPr>
      <xdr:blipFill rotWithShape="1">
        <a:blip xmlns:r="http://schemas.openxmlformats.org/officeDocument/2006/relationships" r:embed="rId3"/>
        <a:srcRect t="1166" r="1961" b="51963"/>
        <a:stretch/>
      </xdr:blipFill>
      <xdr:spPr>
        <a:xfrm>
          <a:off x="3848100" y="9477375"/>
          <a:ext cx="2314575" cy="1561592"/>
        </a:xfrm>
        <a:prstGeom prst="rect">
          <a:avLst/>
        </a:prstGeom>
      </xdr:spPr>
    </xdr:pic>
    <xdr:clientData/>
  </xdr:twoCellAnchor>
  <xdr:twoCellAnchor editAs="oneCell">
    <xdr:from>
      <xdr:col>2</xdr:col>
      <xdr:colOff>361951</xdr:colOff>
      <xdr:row>17</xdr:row>
      <xdr:rowOff>19050</xdr:rowOff>
    </xdr:from>
    <xdr:to>
      <xdr:col>3</xdr:col>
      <xdr:colOff>141224</xdr:colOff>
      <xdr:row>25</xdr:row>
      <xdr:rowOff>133350</xdr:rowOff>
    </xdr:to>
    <xdr:pic>
      <xdr:nvPicPr>
        <xdr:cNvPr id="34" name="Image 33">
          <a:extLst>
            <a:ext uri="{FF2B5EF4-FFF2-40B4-BE49-F238E27FC236}">
              <a16:creationId xmlns:a16="http://schemas.microsoft.com/office/drawing/2014/main" id="{187ABF65-B508-4F8F-A7C3-79D234FD7834}"/>
            </a:ext>
          </a:extLst>
        </xdr:cNvPr>
        <xdr:cNvPicPr>
          <a:picLocks noChangeAspect="1"/>
        </xdr:cNvPicPr>
      </xdr:nvPicPr>
      <xdr:blipFill rotWithShape="1">
        <a:blip xmlns:r="http://schemas.openxmlformats.org/officeDocument/2006/relationships" r:embed="rId4"/>
        <a:srcRect l="2187" b="51593"/>
        <a:stretch/>
      </xdr:blipFill>
      <xdr:spPr>
        <a:xfrm>
          <a:off x="3933826" y="2609850"/>
          <a:ext cx="2341498" cy="1638300"/>
        </a:xfrm>
        <a:prstGeom prst="rect">
          <a:avLst/>
        </a:prstGeom>
      </xdr:spPr>
    </xdr:pic>
    <xdr:clientData/>
  </xdr:twoCellAnchor>
  <xdr:twoCellAnchor editAs="oneCell">
    <xdr:from>
      <xdr:col>2</xdr:col>
      <xdr:colOff>2371724</xdr:colOff>
      <xdr:row>1</xdr:row>
      <xdr:rowOff>47363</xdr:rowOff>
    </xdr:from>
    <xdr:to>
      <xdr:col>3</xdr:col>
      <xdr:colOff>413384</xdr:colOff>
      <xdr:row>3</xdr:row>
      <xdr:rowOff>181610</xdr:rowOff>
    </xdr:to>
    <xdr:pic>
      <xdr:nvPicPr>
        <xdr:cNvPr id="15" name="Image 14">
          <a:extLst>
            <a:ext uri="{FF2B5EF4-FFF2-40B4-BE49-F238E27FC236}">
              <a16:creationId xmlns:a16="http://schemas.microsoft.com/office/drawing/2014/main" id="{3C361E0B-9666-47E1-99FE-7465A390872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943599" y="237863"/>
          <a:ext cx="603885" cy="51524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0</xdr:colOff>
      <xdr:row>2</xdr:row>
      <xdr:rowOff>0</xdr:rowOff>
    </xdr:from>
    <xdr:to>
      <xdr:col>4</xdr:col>
      <xdr:colOff>6985</xdr:colOff>
      <xdr:row>5</xdr:row>
      <xdr:rowOff>635</xdr:rowOff>
    </xdr:to>
    <xdr:pic>
      <xdr:nvPicPr>
        <xdr:cNvPr id="3" name="Image 2">
          <a:extLst>
            <a:ext uri="{FF2B5EF4-FFF2-40B4-BE49-F238E27FC236}">
              <a16:creationId xmlns:a16="http://schemas.microsoft.com/office/drawing/2014/main" id="{AED540F9-4821-4D05-AA3E-FE3F292991A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57900" y="381000"/>
          <a:ext cx="670560" cy="5721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209550</xdr:colOff>
      <xdr:row>1</xdr:row>
      <xdr:rowOff>123825</xdr:rowOff>
    </xdr:from>
    <xdr:to>
      <xdr:col>3</xdr:col>
      <xdr:colOff>407035</xdr:colOff>
      <xdr:row>4</xdr:row>
      <xdr:rowOff>124460</xdr:rowOff>
    </xdr:to>
    <xdr:pic>
      <xdr:nvPicPr>
        <xdr:cNvPr id="8" name="Image 7">
          <a:extLst>
            <a:ext uri="{FF2B5EF4-FFF2-40B4-BE49-F238E27FC236}">
              <a16:creationId xmlns:a16="http://schemas.microsoft.com/office/drawing/2014/main" id="{F6EFE3B0-7A60-42E4-9C45-2E546D5305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29250" y="314325"/>
          <a:ext cx="670560" cy="5721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285750</xdr:colOff>
      <xdr:row>1</xdr:row>
      <xdr:rowOff>152400</xdr:rowOff>
    </xdr:from>
    <xdr:to>
      <xdr:col>4</xdr:col>
      <xdr:colOff>10160</xdr:colOff>
      <xdr:row>4</xdr:row>
      <xdr:rowOff>153035</xdr:rowOff>
    </xdr:to>
    <xdr:pic>
      <xdr:nvPicPr>
        <xdr:cNvPr id="3" name="Image 2">
          <a:extLst>
            <a:ext uri="{FF2B5EF4-FFF2-40B4-BE49-F238E27FC236}">
              <a16:creationId xmlns:a16="http://schemas.microsoft.com/office/drawing/2014/main" id="{2898EFF1-FBFF-477A-8B8A-0B9600D49BD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43575" y="342900"/>
          <a:ext cx="670560" cy="57213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xdr:colOff>
      <xdr:row>6</xdr:row>
      <xdr:rowOff>9526</xdr:rowOff>
    </xdr:from>
    <xdr:to>
      <xdr:col>5</xdr:col>
      <xdr:colOff>651450</xdr:colOff>
      <xdr:row>16</xdr:row>
      <xdr:rowOff>114300</xdr:rowOff>
    </xdr:to>
    <xdr:graphicFrame macro="">
      <xdr:nvGraphicFramePr>
        <xdr:cNvPr id="15" name="Graphique 14">
          <a:extLst>
            <a:ext uri="{FF2B5EF4-FFF2-40B4-BE49-F238E27FC236}">
              <a16:creationId xmlns:a16="http://schemas.microsoft.com/office/drawing/2014/main" id="{8FE0856B-ED69-49B7-B8B9-1804EFFC44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123825</xdr:colOff>
      <xdr:row>12</xdr:row>
      <xdr:rowOff>82911</xdr:rowOff>
    </xdr:from>
    <xdr:to>
      <xdr:col>7</xdr:col>
      <xdr:colOff>555825</xdr:colOff>
      <xdr:row>15</xdr:row>
      <xdr:rowOff>57711</xdr:rowOff>
    </xdr:to>
    <xdr:sp macro="" textlink="'DONNEES CUMULS DEPUIS JANVIER'!C2">
      <xdr:nvSpPr>
        <xdr:cNvPr id="16" name="Ellipse 15">
          <a:extLst>
            <a:ext uri="{FF2B5EF4-FFF2-40B4-BE49-F238E27FC236}">
              <a16:creationId xmlns:a16="http://schemas.microsoft.com/office/drawing/2014/main" id="{079867FD-EBD9-45BC-8468-C772F83660F6}"/>
            </a:ext>
          </a:extLst>
        </xdr:cNvPr>
        <xdr:cNvSpPr/>
      </xdr:nvSpPr>
      <xdr:spPr>
        <a:xfrm>
          <a:off x="5457825" y="2368911"/>
          <a:ext cx="432000" cy="546300"/>
        </a:xfrm>
        <a:prstGeom prst="ellips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fld id="{D8189159-0E24-4371-A0DA-7B9C08373D2F}" type="TxLink">
            <a:rPr lang="en-US" sz="900" b="1" i="0" u="none" strike="noStrike">
              <a:solidFill>
                <a:srgbClr val="000000"/>
              </a:solidFill>
              <a:latin typeface="Calibri"/>
              <a:cs typeface="Calibri"/>
            </a:rPr>
            <a:pPr algn="ctr"/>
            <a:t>9,0%</a:t>
          </a:fld>
          <a:endParaRPr lang="en-US" sz="900" b="1"/>
        </a:p>
      </xdr:txBody>
    </xdr:sp>
    <xdr:clientData/>
  </xdr:twoCellAnchor>
  <xdr:twoCellAnchor>
    <xdr:from>
      <xdr:col>9</xdr:col>
      <xdr:colOff>561975</xdr:colOff>
      <xdr:row>6</xdr:row>
      <xdr:rowOff>1</xdr:rowOff>
    </xdr:from>
    <xdr:to>
      <xdr:col>13</xdr:col>
      <xdr:colOff>714375</xdr:colOff>
      <xdr:row>16</xdr:row>
      <xdr:rowOff>66674</xdr:rowOff>
    </xdr:to>
    <xdr:graphicFrame macro="">
      <xdr:nvGraphicFramePr>
        <xdr:cNvPr id="17" name="Graphique 16">
          <a:extLst>
            <a:ext uri="{FF2B5EF4-FFF2-40B4-BE49-F238E27FC236}">
              <a16:creationId xmlns:a16="http://schemas.microsoft.com/office/drawing/2014/main" id="{5D0118F3-F6DD-4E1A-B44A-82D8A9E3D1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654843</xdr:colOff>
      <xdr:row>18</xdr:row>
      <xdr:rowOff>258618</xdr:rowOff>
    </xdr:from>
    <xdr:to>
      <xdr:col>10</xdr:col>
      <xdr:colOff>178593</xdr:colOff>
      <xdr:row>28</xdr:row>
      <xdr:rowOff>121443</xdr:rowOff>
    </xdr:to>
    <xdr:graphicFrame macro="">
      <xdr:nvGraphicFramePr>
        <xdr:cNvPr id="18" name="Graphique 17">
          <a:extLst>
            <a:ext uri="{FF2B5EF4-FFF2-40B4-BE49-F238E27FC236}">
              <a16:creationId xmlns:a16="http://schemas.microsoft.com/office/drawing/2014/main" id="{4A215250-26A8-4CB3-9632-3B8495B81A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188118</xdr:colOff>
      <xdr:row>19</xdr:row>
      <xdr:rowOff>8587</xdr:rowOff>
    </xdr:from>
    <xdr:to>
      <xdr:col>12</xdr:col>
      <xdr:colOff>492918</xdr:colOff>
      <xdr:row>28</xdr:row>
      <xdr:rowOff>134287</xdr:rowOff>
    </xdr:to>
    <xdr:graphicFrame macro="">
      <xdr:nvGraphicFramePr>
        <xdr:cNvPr id="19" name="Graphique 18">
          <a:extLst>
            <a:ext uri="{FF2B5EF4-FFF2-40B4-BE49-F238E27FC236}">
              <a16:creationId xmlns:a16="http://schemas.microsoft.com/office/drawing/2014/main" id="{FAB62F1D-0919-4747-9E64-E8A00373AC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457200</xdr:colOff>
      <xdr:row>19</xdr:row>
      <xdr:rowOff>8587</xdr:rowOff>
    </xdr:from>
    <xdr:to>
      <xdr:col>15</xdr:col>
      <xdr:colOff>0</xdr:colOff>
      <xdr:row>28</xdr:row>
      <xdr:rowOff>134287</xdr:rowOff>
    </xdr:to>
    <xdr:graphicFrame macro="">
      <xdr:nvGraphicFramePr>
        <xdr:cNvPr id="20" name="Graphique 19">
          <a:extLst>
            <a:ext uri="{FF2B5EF4-FFF2-40B4-BE49-F238E27FC236}">
              <a16:creationId xmlns:a16="http://schemas.microsoft.com/office/drawing/2014/main" id="{FA7B7405-F327-4F5B-BA66-862D2E0731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19050</xdr:colOff>
      <xdr:row>18</xdr:row>
      <xdr:rowOff>190500</xdr:rowOff>
    </xdr:from>
    <xdr:to>
      <xdr:col>7</xdr:col>
      <xdr:colOff>676500</xdr:colOff>
      <xdr:row>28</xdr:row>
      <xdr:rowOff>9524</xdr:rowOff>
    </xdr:to>
    <xdr:graphicFrame macro="">
      <xdr:nvGraphicFramePr>
        <xdr:cNvPr id="21" name="Graphique 20">
          <a:extLst>
            <a:ext uri="{FF2B5EF4-FFF2-40B4-BE49-F238E27FC236}">
              <a16:creationId xmlns:a16="http://schemas.microsoft.com/office/drawing/2014/main" id="{D74B621A-4554-400B-A414-C12F815FC9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9700</xdr:colOff>
      <xdr:row>30</xdr:row>
      <xdr:rowOff>95249</xdr:rowOff>
    </xdr:from>
    <xdr:to>
      <xdr:col>15</xdr:col>
      <xdr:colOff>2925</xdr:colOff>
      <xdr:row>41</xdr:row>
      <xdr:rowOff>40360</xdr:rowOff>
    </xdr:to>
    <xdr:graphicFrame macro="">
      <xdr:nvGraphicFramePr>
        <xdr:cNvPr id="22" name="Graphique 21">
          <a:extLst>
            <a:ext uri="{FF2B5EF4-FFF2-40B4-BE49-F238E27FC236}">
              <a16:creationId xmlns:a16="http://schemas.microsoft.com/office/drawing/2014/main" id="{168C1B65-A16A-4597-A970-6C0699CD02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oneCellAnchor>
    <xdr:from>
      <xdr:col>0</xdr:col>
      <xdr:colOff>0</xdr:colOff>
      <xdr:row>6</xdr:row>
      <xdr:rowOff>9525</xdr:rowOff>
    </xdr:from>
    <xdr:ext cx="917495" cy="217560"/>
    <xdr:sp macro="" textlink="">
      <xdr:nvSpPr>
        <xdr:cNvPr id="23" name="ZoneTexte 22">
          <a:extLst>
            <a:ext uri="{FF2B5EF4-FFF2-40B4-BE49-F238E27FC236}">
              <a16:creationId xmlns:a16="http://schemas.microsoft.com/office/drawing/2014/main" id="{46B87BD4-D35C-45C4-817B-8F504CA7C3F2}"/>
            </a:ext>
          </a:extLst>
        </xdr:cNvPr>
        <xdr:cNvSpPr txBox="1"/>
      </xdr:nvSpPr>
      <xdr:spPr>
        <a:xfrm>
          <a:off x="0" y="923925"/>
          <a:ext cx="917495"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800" i="1"/>
            <a:t>base</a:t>
          </a:r>
          <a:r>
            <a:rPr lang="fr-FR" sz="800" i="1" baseline="0"/>
            <a:t> 100 en 2010</a:t>
          </a:r>
          <a:endParaRPr lang="fr-FR" sz="800" i="1"/>
        </a:p>
      </xdr:txBody>
    </xdr:sp>
    <xdr:clientData/>
  </xdr:oneCellAnchor>
  <xdr:oneCellAnchor>
    <xdr:from>
      <xdr:col>7</xdr:col>
      <xdr:colOff>609600</xdr:colOff>
      <xdr:row>18</xdr:row>
      <xdr:rowOff>19050</xdr:rowOff>
    </xdr:from>
    <xdr:ext cx="914546" cy="217560"/>
    <xdr:sp macro="" textlink="">
      <xdr:nvSpPr>
        <xdr:cNvPr id="24" name="ZoneTexte 23">
          <a:extLst>
            <a:ext uri="{FF2B5EF4-FFF2-40B4-BE49-F238E27FC236}">
              <a16:creationId xmlns:a16="http://schemas.microsoft.com/office/drawing/2014/main" id="{9D4C2876-263F-4A8B-984D-41947B50981F}"/>
            </a:ext>
          </a:extLst>
        </xdr:cNvPr>
        <xdr:cNvSpPr txBox="1"/>
      </xdr:nvSpPr>
      <xdr:spPr>
        <a:xfrm>
          <a:off x="4905375" y="2762250"/>
          <a:ext cx="914546" cy="21756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800" i="1"/>
            <a:t>base</a:t>
          </a:r>
          <a:r>
            <a:rPr lang="fr-FR" sz="800" i="1" baseline="0"/>
            <a:t> 100 en 2010</a:t>
          </a:r>
          <a:endParaRPr lang="fr-FR" sz="800" i="1"/>
        </a:p>
      </xdr:txBody>
    </xdr:sp>
    <xdr:clientData/>
  </xdr:oneCellAnchor>
  <xdr:oneCellAnchor>
    <xdr:from>
      <xdr:col>10</xdr:col>
      <xdr:colOff>542925</xdr:colOff>
      <xdr:row>18</xdr:row>
      <xdr:rowOff>19050</xdr:rowOff>
    </xdr:from>
    <xdr:ext cx="914546" cy="217560"/>
    <xdr:sp macro="" textlink="">
      <xdr:nvSpPr>
        <xdr:cNvPr id="25" name="ZoneTexte 24">
          <a:extLst>
            <a:ext uri="{FF2B5EF4-FFF2-40B4-BE49-F238E27FC236}">
              <a16:creationId xmlns:a16="http://schemas.microsoft.com/office/drawing/2014/main" id="{B3C989D4-12E4-4BF8-97E7-1F387A0DFED6}"/>
            </a:ext>
          </a:extLst>
        </xdr:cNvPr>
        <xdr:cNvSpPr txBox="1"/>
      </xdr:nvSpPr>
      <xdr:spPr>
        <a:xfrm>
          <a:off x="8162925" y="3448050"/>
          <a:ext cx="914546" cy="21756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800" i="1"/>
            <a:t>base</a:t>
          </a:r>
          <a:r>
            <a:rPr lang="fr-FR" sz="800" i="1" baseline="0"/>
            <a:t> 100 en 2008</a:t>
          </a:r>
          <a:endParaRPr lang="fr-FR" sz="800" i="1"/>
        </a:p>
      </xdr:txBody>
    </xdr:sp>
    <xdr:clientData/>
  </xdr:oneCellAnchor>
  <xdr:oneCellAnchor>
    <xdr:from>
      <xdr:col>13</xdr:col>
      <xdr:colOff>104775</xdr:colOff>
      <xdr:row>18</xdr:row>
      <xdr:rowOff>9525</xdr:rowOff>
    </xdr:from>
    <xdr:ext cx="914546" cy="217560"/>
    <xdr:sp macro="" textlink="">
      <xdr:nvSpPr>
        <xdr:cNvPr id="26" name="ZoneTexte 25">
          <a:extLst>
            <a:ext uri="{FF2B5EF4-FFF2-40B4-BE49-F238E27FC236}">
              <a16:creationId xmlns:a16="http://schemas.microsoft.com/office/drawing/2014/main" id="{D1ACF51A-3822-43B6-B8DB-2CD1919DE7F3}"/>
            </a:ext>
          </a:extLst>
        </xdr:cNvPr>
        <xdr:cNvSpPr txBox="1"/>
      </xdr:nvSpPr>
      <xdr:spPr>
        <a:xfrm>
          <a:off x="9968800" y="3206050"/>
          <a:ext cx="914546" cy="21756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800" i="1"/>
            <a:t>base</a:t>
          </a:r>
          <a:r>
            <a:rPr lang="fr-FR" sz="800" i="1" baseline="0"/>
            <a:t> 100 en 2021</a:t>
          </a:r>
          <a:endParaRPr lang="fr-FR" sz="800" i="1"/>
        </a:p>
      </xdr:txBody>
    </xdr:sp>
    <xdr:clientData/>
  </xdr:oneCellAnchor>
  <xdr:twoCellAnchor>
    <xdr:from>
      <xdr:col>9</xdr:col>
      <xdr:colOff>3227</xdr:colOff>
      <xdr:row>30</xdr:row>
      <xdr:rowOff>95249</xdr:rowOff>
    </xdr:from>
    <xdr:to>
      <xdr:col>11</xdr:col>
      <xdr:colOff>755224</xdr:colOff>
      <xdr:row>41</xdr:row>
      <xdr:rowOff>113008</xdr:rowOff>
    </xdr:to>
    <xdr:graphicFrame macro="">
      <xdr:nvGraphicFramePr>
        <xdr:cNvPr id="27" name="Graphique 8">
          <a:extLst>
            <a:ext uri="{FF2B5EF4-FFF2-40B4-BE49-F238E27FC236}">
              <a16:creationId xmlns:a16="http://schemas.microsoft.com/office/drawing/2014/main" id="{11403428-109F-4BD6-B705-3ABA817835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14</xdr:col>
      <xdr:colOff>184865</xdr:colOff>
      <xdr:row>1</xdr:row>
      <xdr:rowOff>142875</xdr:rowOff>
    </xdr:from>
    <xdr:to>
      <xdr:col>14</xdr:col>
      <xdr:colOff>695960</xdr:colOff>
      <xdr:row>4</xdr:row>
      <xdr:rowOff>6985</xdr:rowOff>
    </xdr:to>
    <xdr:pic>
      <xdr:nvPicPr>
        <xdr:cNvPr id="29" name="Image 28">
          <a:extLst>
            <a:ext uri="{FF2B5EF4-FFF2-40B4-BE49-F238E27FC236}">
              <a16:creationId xmlns:a16="http://schemas.microsoft.com/office/drawing/2014/main" id="{B2F95184-21A3-4523-908B-BBB2D6724951}"/>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852865" y="333375"/>
          <a:ext cx="514270" cy="43878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45244</xdr:colOff>
      <xdr:row>6</xdr:row>
      <xdr:rowOff>9526</xdr:rowOff>
    </xdr:from>
    <xdr:to>
      <xdr:col>5</xdr:col>
      <xdr:colOff>687169</xdr:colOff>
      <xdr:row>16</xdr:row>
      <xdr:rowOff>114300</xdr:rowOff>
    </xdr:to>
    <xdr:graphicFrame macro="">
      <xdr:nvGraphicFramePr>
        <xdr:cNvPr id="15" name="Graphique 14">
          <a:extLst>
            <a:ext uri="{FF2B5EF4-FFF2-40B4-BE49-F238E27FC236}">
              <a16:creationId xmlns:a16="http://schemas.microsoft.com/office/drawing/2014/main" id="{E6C8C86E-0893-45C2-98A3-7B898FEC3B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561975</xdr:colOff>
      <xdr:row>6</xdr:row>
      <xdr:rowOff>1</xdr:rowOff>
    </xdr:from>
    <xdr:to>
      <xdr:col>13</xdr:col>
      <xdr:colOff>714375</xdr:colOff>
      <xdr:row>16</xdr:row>
      <xdr:rowOff>66674</xdr:rowOff>
    </xdr:to>
    <xdr:graphicFrame macro="">
      <xdr:nvGraphicFramePr>
        <xdr:cNvPr id="17" name="Graphique 16">
          <a:extLst>
            <a:ext uri="{FF2B5EF4-FFF2-40B4-BE49-F238E27FC236}">
              <a16:creationId xmlns:a16="http://schemas.microsoft.com/office/drawing/2014/main" id="{15E1939D-EDB4-41F5-B8B9-56875AB5B8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123825</xdr:colOff>
      <xdr:row>12</xdr:row>
      <xdr:rowOff>82911</xdr:rowOff>
    </xdr:from>
    <xdr:to>
      <xdr:col>7</xdr:col>
      <xdr:colOff>555825</xdr:colOff>
      <xdr:row>15</xdr:row>
      <xdr:rowOff>57711</xdr:rowOff>
    </xdr:to>
    <xdr:sp macro="" textlink="'DONNEES 3-6 MOIS'!C2">
      <xdr:nvSpPr>
        <xdr:cNvPr id="16" name="Ellipse 15">
          <a:extLst>
            <a:ext uri="{FF2B5EF4-FFF2-40B4-BE49-F238E27FC236}">
              <a16:creationId xmlns:a16="http://schemas.microsoft.com/office/drawing/2014/main" id="{5379E5DC-6783-451A-A242-8382594641C9}"/>
            </a:ext>
          </a:extLst>
        </xdr:cNvPr>
        <xdr:cNvSpPr/>
      </xdr:nvSpPr>
      <xdr:spPr>
        <a:xfrm>
          <a:off x="5457825" y="2368911"/>
          <a:ext cx="432000" cy="546300"/>
        </a:xfrm>
        <a:prstGeom prst="ellips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fld id="{6359E41B-7525-4F71-84F9-6A1AA3DD27C0}" type="TxLink">
            <a:rPr lang="en-US" sz="1100" b="1" i="0" u="none" strike="noStrike">
              <a:solidFill>
                <a:srgbClr val="000000"/>
              </a:solidFill>
              <a:latin typeface="Calibri"/>
              <a:cs typeface="Calibri"/>
            </a:rPr>
            <a:pPr algn="ctr"/>
            <a:t>9,0%</a:t>
          </a:fld>
          <a:endParaRPr lang="en-US" sz="900" b="1"/>
        </a:p>
      </xdr:txBody>
    </xdr:sp>
    <xdr:clientData/>
  </xdr:twoCellAnchor>
  <xdr:twoCellAnchor>
    <xdr:from>
      <xdr:col>7</xdr:col>
      <xdr:colOff>609600</xdr:colOff>
      <xdr:row>19</xdr:row>
      <xdr:rowOff>8587</xdr:rowOff>
    </xdr:from>
    <xdr:to>
      <xdr:col>10</xdr:col>
      <xdr:colOff>152400</xdr:colOff>
      <xdr:row>28</xdr:row>
      <xdr:rowOff>134287</xdr:rowOff>
    </xdr:to>
    <xdr:graphicFrame macro="">
      <xdr:nvGraphicFramePr>
        <xdr:cNvPr id="18" name="Graphique 17">
          <a:extLst>
            <a:ext uri="{FF2B5EF4-FFF2-40B4-BE49-F238E27FC236}">
              <a16:creationId xmlns:a16="http://schemas.microsoft.com/office/drawing/2014/main" id="{1492DE72-6041-4A4F-BFAF-2693058923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142875</xdr:colOff>
      <xdr:row>19</xdr:row>
      <xdr:rowOff>8587</xdr:rowOff>
    </xdr:from>
    <xdr:to>
      <xdr:col>12</xdr:col>
      <xdr:colOff>447675</xdr:colOff>
      <xdr:row>28</xdr:row>
      <xdr:rowOff>134287</xdr:rowOff>
    </xdr:to>
    <xdr:graphicFrame macro="">
      <xdr:nvGraphicFramePr>
        <xdr:cNvPr id="19" name="Graphique 18">
          <a:extLst>
            <a:ext uri="{FF2B5EF4-FFF2-40B4-BE49-F238E27FC236}">
              <a16:creationId xmlns:a16="http://schemas.microsoft.com/office/drawing/2014/main" id="{182EE4DF-6D87-454D-BD3B-17D74B5267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457200</xdr:colOff>
      <xdr:row>19</xdr:row>
      <xdr:rowOff>8587</xdr:rowOff>
    </xdr:from>
    <xdr:to>
      <xdr:col>15</xdr:col>
      <xdr:colOff>0</xdr:colOff>
      <xdr:row>28</xdr:row>
      <xdr:rowOff>134287</xdr:rowOff>
    </xdr:to>
    <xdr:graphicFrame macro="">
      <xdr:nvGraphicFramePr>
        <xdr:cNvPr id="20" name="Graphique 19">
          <a:extLst>
            <a:ext uri="{FF2B5EF4-FFF2-40B4-BE49-F238E27FC236}">
              <a16:creationId xmlns:a16="http://schemas.microsoft.com/office/drawing/2014/main" id="{B398F90B-3FAF-48FF-9916-F30AA94F9E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714375</xdr:colOff>
      <xdr:row>19</xdr:row>
      <xdr:rowOff>73818</xdr:rowOff>
    </xdr:from>
    <xdr:to>
      <xdr:col>7</xdr:col>
      <xdr:colOff>688406</xdr:colOff>
      <xdr:row>28</xdr:row>
      <xdr:rowOff>140493</xdr:rowOff>
    </xdr:to>
    <xdr:graphicFrame macro="">
      <xdr:nvGraphicFramePr>
        <xdr:cNvPr id="21" name="Graphique 20">
          <a:extLst>
            <a:ext uri="{FF2B5EF4-FFF2-40B4-BE49-F238E27FC236}">
              <a16:creationId xmlns:a16="http://schemas.microsoft.com/office/drawing/2014/main" id="{E99E159C-626E-4AB1-BD86-30A6D25A2F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6525</xdr:colOff>
      <xdr:row>30</xdr:row>
      <xdr:rowOff>95249</xdr:rowOff>
    </xdr:from>
    <xdr:to>
      <xdr:col>15</xdr:col>
      <xdr:colOff>2925</xdr:colOff>
      <xdr:row>40</xdr:row>
      <xdr:rowOff>749</xdr:rowOff>
    </xdr:to>
    <xdr:graphicFrame macro="">
      <xdr:nvGraphicFramePr>
        <xdr:cNvPr id="22" name="Graphique 21">
          <a:extLst>
            <a:ext uri="{FF2B5EF4-FFF2-40B4-BE49-F238E27FC236}">
              <a16:creationId xmlns:a16="http://schemas.microsoft.com/office/drawing/2014/main" id="{F2D8F179-1E93-4777-BA13-7AF9EBF0FA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oneCellAnchor>
    <xdr:from>
      <xdr:col>0</xdr:col>
      <xdr:colOff>0</xdr:colOff>
      <xdr:row>6</xdr:row>
      <xdr:rowOff>9525</xdr:rowOff>
    </xdr:from>
    <xdr:ext cx="917495" cy="217560"/>
    <xdr:sp macro="" textlink="">
      <xdr:nvSpPr>
        <xdr:cNvPr id="23" name="ZoneTexte 22">
          <a:extLst>
            <a:ext uri="{FF2B5EF4-FFF2-40B4-BE49-F238E27FC236}">
              <a16:creationId xmlns:a16="http://schemas.microsoft.com/office/drawing/2014/main" id="{C7C184CB-1813-4C1D-91F1-CF4672F2E1B7}"/>
            </a:ext>
          </a:extLst>
        </xdr:cNvPr>
        <xdr:cNvSpPr txBox="1"/>
      </xdr:nvSpPr>
      <xdr:spPr>
        <a:xfrm>
          <a:off x="0" y="1152525"/>
          <a:ext cx="917495"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800" i="1"/>
            <a:t>base</a:t>
          </a:r>
          <a:r>
            <a:rPr lang="fr-FR" sz="800" i="1" baseline="0"/>
            <a:t> 100 en 2010</a:t>
          </a:r>
          <a:endParaRPr lang="fr-FR" sz="800" i="1"/>
        </a:p>
      </xdr:txBody>
    </xdr:sp>
    <xdr:clientData/>
  </xdr:oneCellAnchor>
  <xdr:oneCellAnchor>
    <xdr:from>
      <xdr:col>7</xdr:col>
      <xdr:colOff>561975</xdr:colOff>
      <xdr:row>18</xdr:row>
      <xdr:rowOff>19050</xdr:rowOff>
    </xdr:from>
    <xdr:ext cx="914546" cy="217560"/>
    <xdr:sp macro="" textlink="">
      <xdr:nvSpPr>
        <xdr:cNvPr id="24" name="ZoneTexte 23">
          <a:extLst>
            <a:ext uri="{FF2B5EF4-FFF2-40B4-BE49-F238E27FC236}">
              <a16:creationId xmlns:a16="http://schemas.microsoft.com/office/drawing/2014/main" id="{EF7697BA-5A6D-4007-B1AA-D1334C26CFA5}"/>
            </a:ext>
          </a:extLst>
        </xdr:cNvPr>
        <xdr:cNvSpPr txBox="1"/>
      </xdr:nvSpPr>
      <xdr:spPr>
        <a:xfrm>
          <a:off x="5895975" y="3448050"/>
          <a:ext cx="914546" cy="21756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800" i="1"/>
            <a:t>base</a:t>
          </a:r>
          <a:r>
            <a:rPr lang="fr-FR" sz="800" i="1" baseline="0"/>
            <a:t> 100 en 2010</a:t>
          </a:r>
          <a:endParaRPr lang="fr-FR" sz="800" i="1"/>
        </a:p>
      </xdr:txBody>
    </xdr:sp>
    <xdr:clientData/>
  </xdr:oneCellAnchor>
  <xdr:oneCellAnchor>
    <xdr:from>
      <xdr:col>10</xdr:col>
      <xdr:colOff>114300</xdr:colOff>
      <xdr:row>18</xdr:row>
      <xdr:rowOff>19050</xdr:rowOff>
    </xdr:from>
    <xdr:ext cx="914546" cy="217560"/>
    <xdr:sp macro="" textlink="">
      <xdr:nvSpPr>
        <xdr:cNvPr id="25" name="ZoneTexte 24">
          <a:extLst>
            <a:ext uri="{FF2B5EF4-FFF2-40B4-BE49-F238E27FC236}">
              <a16:creationId xmlns:a16="http://schemas.microsoft.com/office/drawing/2014/main" id="{DED14237-629F-4FCE-8A73-6D920FD10ECE}"/>
            </a:ext>
          </a:extLst>
        </xdr:cNvPr>
        <xdr:cNvSpPr txBox="1"/>
      </xdr:nvSpPr>
      <xdr:spPr>
        <a:xfrm>
          <a:off x="7734300" y="3448050"/>
          <a:ext cx="914546" cy="21756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800" i="1"/>
            <a:t>base</a:t>
          </a:r>
          <a:r>
            <a:rPr lang="fr-FR" sz="800" i="1" baseline="0"/>
            <a:t> 100 en 2008</a:t>
          </a:r>
          <a:endParaRPr lang="fr-FR" sz="800" i="1"/>
        </a:p>
      </xdr:txBody>
    </xdr:sp>
    <xdr:clientData/>
  </xdr:oneCellAnchor>
  <xdr:oneCellAnchor>
    <xdr:from>
      <xdr:col>12</xdr:col>
      <xdr:colOff>419100</xdr:colOff>
      <xdr:row>18</xdr:row>
      <xdr:rowOff>9525</xdr:rowOff>
    </xdr:from>
    <xdr:ext cx="914546" cy="217560"/>
    <xdr:sp macro="" textlink="">
      <xdr:nvSpPr>
        <xdr:cNvPr id="26" name="ZoneTexte 25">
          <a:extLst>
            <a:ext uri="{FF2B5EF4-FFF2-40B4-BE49-F238E27FC236}">
              <a16:creationId xmlns:a16="http://schemas.microsoft.com/office/drawing/2014/main" id="{968F47DE-6623-4652-95DC-F84DD391DD96}"/>
            </a:ext>
          </a:extLst>
        </xdr:cNvPr>
        <xdr:cNvSpPr txBox="1"/>
      </xdr:nvSpPr>
      <xdr:spPr>
        <a:xfrm>
          <a:off x="11027569" y="3438525"/>
          <a:ext cx="914546" cy="21756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800" i="1"/>
            <a:t>base</a:t>
          </a:r>
          <a:r>
            <a:rPr lang="fr-FR" sz="800" i="1" baseline="0"/>
            <a:t> 100 en 2021</a:t>
          </a:r>
          <a:endParaRPr lang="fr-FR" sz="800" i="1"/>
        </a:p>
      </xdr:txBody>
    </xdr:sp>
    <xdr:clientData/>
  </xdr:oneCellAnchor>
  <xdr:twoCellAnchor>
    <xdr:from>
      <xdr:col>9</xdr:col>
      <xdr:colOff>0</xdr:colOff>
      <xdr:row>30</xdr:row>
      <xdr:rowOff>95249</xdr:rowOff>
    </xdr:from>
    <xdr:to>
      <xdr:col>11</xdr:col>
      <xdr:colOff>758400</xdr:colOff>
      <xdr:row>40</xdr:row>
      <xdr:rowOff>749</xdr:rowOff>
    </xdr:to>
    <xdr:graphicFrame macro="">
      <xdr:nvGraphicFramePr>
        <xdr:cNvPr id="27" name="Graphique 8">
          <a:extLst>
            <a:ext uri="{FF2B5EF4-FFF2-40B4-BE49-F238E27FC236}">
              <a16:creationId xmlns:a16="http://schemas.microsoft.com/office/drawing/2014/main" id="{01DE9AF3-C335-4A51-847A-FE6811223A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14</xdr:col>
      <xdr:colOff>190500</xdr:colOff>
      <xdr:row>1</xdr:row>
      <xdr:rowOff>161925</xdr:rowOff>
    </xdr:from>
    <xdr:to>
      <xdr:col>14</xdr:col>
      <xdr:colOff>704770</xdr:colOff>
      <xdr:row>4</xdr:row>
      <xdr:rowOff>26035</xdr:rowOff>
    </xdr:to>
    <xdr:pic>
      <xdr:nvPicPr>
        <xdr:cNvPr id="29" name="Image 28">
          <a:extLst>
            <a:ext uri="{FF2B5EF4-FFF2-40B4-BE49-F238E27FC236}">
              <a16:creationId xmlns:a16="http://schemas.microsoft.com/office/drawing/2014/main" id="{7B44EC7A-E2FD-4DBE-9462-65B9A13F0B44}"/>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858500" y="352425"/>
          <a:ext cx="514270" cy="43878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342900</xdr:colOff>
      <xdr:row>1</xdr:row>
      <xdr:rowOff>171450</xdr:rowOff>
    </xdr:from>
    <xdr:to>
      <xdr:col>5</xdr:col>
      <xdr:colOff>597535</xdr:colOff>
      <xdr:row>4</xdr:row>
      <xdr:rowOff>172085</xdr:rowOff>
    </xdr:to>
    <xdr:pic>
      <xdr:nvPicPr>
        <xdr:cNvPr id="3" name="Image 2">
          <a:extLst>
            <a:ext uri="{FF2B5EF4-FFF2-40B4-BE49-F238E27FC236}">
              <a16:creationId xmlns:a16="http://schemas.microsoft.com/office/drawing/2014/main" id="{E0014EE3-6B31-4AC7-8A00-2525CFD19D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34100" y="361950"/>
          <a:ext cx="670560" cy="57213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28575</xdr:colOff>
      <xdr:row>1</xdr:row>
      <xdr:rowOff>123825</xdr:rowOff>
    </xdr:from>
    <xdr:to>
      <xdr:col>2</xdr:col>
      <xdr:colOff>692785</xdr:colOff>
      <xdr:row>4</xdr:row>
      <xdr:rowOff>124460</xdr:rowOff>
    </xdr:to>
    <xdr:pic>
      <xdr:nvPicPr>
        <xdr:cNvPr id="3" name="Image 2">
          <a:extLst>
            <a:ext uri="{FF2B5EF4-FFF2-40B4-BE49-F238E27FC236}">
              <a16:creationId xmlns:a16="http://schemas.microsoft.com/office/drawing/2014/main" id="{45754A6D-F08E-4299-BD0C-5B0BC04713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76800" y="314325"/>
          <a:ext cx="670560" cy="57213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1152527</xdr:colOff>
      <xdr:row>15</xdr:row>
      <xdr:rowOff>104776</xdr:rowOff>
    </xdr:from>
    <xdr:to>
      <xdr:col>4</xdr:col>
      <xdr:colOff>85726</xdr:colOff>
      <xdr:row>18</xdr:row>
      <xdr:rowOff>114300</xdr:rowOff>
    </xdr:to>
    <xdr:pic>
      <xdr:nvPicPr>
        <xdr:cNvPr id="2" name="Image 1">
          <a:extLst>
            <a:ext uri="{FF2B5EF4-FFF2-40B4-BE49-F238E27FC236}">
              <a16:creationId xmlns:a16="http://schemas.microsoft.com/office/drawing/2014/main" id="{AC0A6A82-8D5E-445A-8B8D-352F6789153C}"/>
            </a:ext>
          </a:extLst>
        </xdr:cNvPr>
        <xdr:cNvPicPr>
          <a:picLocks noChangeAspect="1"/>
        </xdr:cNvPicPr>
      </xdr:nvPicPr>
      <xdr:blipFill rotWithShape="1">
        <a:blip xmlns:r="http://schemas.openxmlformats.org/officeDocument/2006/relationships" r:embed="rId1"/>
        <a:srcRect t="24656" r="88020" b="60746"/>
        <a:stretch/>
      </xdr:blipFill>
      <xdr:spPr>
        <a:xfrm>
          <a:off x="4724402" y="2390776"/>
          <a:ext cx="847724" cy="581024"/>
        </a:xfrm>
        <a:prstGeom prst="rect">
          <a:avLst/>
        </a:prstGeom>
      </xdr:spPr>
    </xdr:pic>
    <xdr:clientData/>
  </xdr:twoCellAnchor>
  <xdr:twoCellAnchor editAs="oneCell">
    <xdr:from>
      <xdr:col>2</xdr:col>
      <xdr:colOff>48581</xdr:colOff>
      <xdr:row>26</xdr:row>
      <xdr:rowOff>38100</xdr:rowOff>
    </xdr:from>
    <xdr:to>
      <xdr:col>5</xdr:col>
      <xdr:colOff>588143</xdr:colOff>
      <xdr:row>36</xdr:row>
      <xdr:rowOff>38100</xdr:rowOff>
    </xdr:to>
    <xdr:pic>
      <xdr:nvPicPr>
        <xdr:cNvPr id="3" name="Image 2">
          <a:extLst>
            <a:ext uri="{FF2B5EF4-FFF2-40B4-BE49-F238E27FC236}">
              <a16:creationId xmlns:a16="http://schemas.microsoft.com/office/drawing/2014/main" id="{B1BEB6A9-DE38-44C4-ABFF-E7D70C70DAF8}"/>
            </a:ext>
          </a:extLst>
        </xdr:cNvPr>
        <xdr:cNvPicPr>
          <a:picLocks noChangeAspect="1"/>
        </xdr:cNvPicPr>
      </xdr:nvPicPr>
      <xdr:blipFill rotWithShape="1">
        <a:blip xmlns:r="http://schemas.openxmlformats.org/officeDocument/2006/relationships" r:embed="rId2"/>
        <a:srcRect t="2569" b="2512"/>
        <a:stretch/>
      </xdr:blipFill>
      <xdr:spPr>
        <a:xfrm>
          <a:off x="3620456" y="4000500"/>
          <a:ext cx="2825562" cy="1905000"/>
        </a:xfrm>
        <a:prstGeom prst="rect">
          <a:avLst/>
        </a:prstGeom>
      </xdr:spPr>
    </xdr:pic>
    <xdr:clientData/>
  </xdr:twoCellAnchor>
  <xdr:twoCellAnchor>
    <xdr:from>
      <xdr:col>1</xdr:col>
      <xdr:colOff>2647950</xdr:colOff>
      <xdr:row>17</xdr:row>
      <xdr:rowOff>85725</xdr:rowOff>
    </xdr:from>
    <xdr:to>
      <xdr:col>2</xdr:col>
      <xdr:colOff>1152527</xdr:colOff>
      <xdr:row>17</xdr:row>
      <xdr:rowOff>90488</xdr:rowOff>
    </xdr:to>
    <xdr:cxnSp macro="">
      <xdr:nvCxnSpPr>
        <xdr:cNvPr id="4" name="Connecteur droit avec flèche 3">
          <a:extLst>
            <a:ext uri="{FF2B5EF4-FFF2-40B4-BE49-F238E27FC236}">
              <a16:creationId xmlns:a16="http://schemas.microsoft.com/office/drawing/2014/main" id="{B733AE4B-F9FE-46F3-98BA-3DF682B5E671}"/>
            </a:ext>
          </a:extLst>
        </xdr:cNvPr>
        <xdr:cNvCxnSpPr>
          <a:endCxn id="2" idx="1"/>
        </xdr:cNvCxnSpPr>
      </xdr:nvCxnSpPr>
      <xdr:spPr>
        <a:xfrm>
          <a:off x="3105150" y="2676525"/>
          <a:ext cx="1619252" cy="4763"/>
        </a:xfrm>
        <a:prstGeom prst="straightConnector1">
          <a:avLst/>
        </a:prstGeom>
        <a:ln w="28575">
          <a:solidFill>
            <a:schemeClr val="accent6"/>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1419225</xdr:colOff>
      <xdr:row>15</xdr:row>
      <xdr:rowOff>142875</xdr:rowOff>
    </xdr:from>
    <xdr:to>
      <xdr:col>2</xdr:col>
      <xdr:colOff>2066925</xdr:colOff>
      <xdr:row>19</xdr:row>
      <xdr:rowOff>57150</xdr:rowOff>
    </xdr:to>
    <xdr:sp macro="" textlink="">
      <xdr:nvSpPr>
        <xdr:cNvPr id="5" name="Ellipse 4">
          <a:extLst>
            <a:ext uri="{FF2B5EF4-FFF2-40B4-BE49-F238E27FC236}">
              <a16:creationId xmlns:a16="http://schemas.microsoft.com/office/drawing/2014/main" id="{E6216F4F-AE6D-4567-AE9E-AB60787ECF79}"/>
            </a:ext>
          </a:extLst>
        </xdr:cNvPr>
        <xdr:cNvSpPr/>
      </xdr:nvSpPr>
      <xdr:spPr>
        <a:xfrm>
          <a:off x="4991100" y="2428875"/>
          <a:ext cx="647700" cy="523875"/>
        </a:xfrm>
        <a:prstGeom prst="ellipse">
          <a:avLst/>
        </a:prstGeom>
        <a:solidFill>
          <a:srgbClr val="FF8200">
            <a:alpha val="10196"/>
          </a:srgbClr>
        </a:solidFill>
        <a:ln w="19050">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editAs="oneCell">
    <xdr:from>
      <xdr:col>3</xdr:col>
      <xdr:colOff>38099</xdr:colOff>
      <xdr:row>20</xdr:row>
      <xdr:rowOff>104775</xdr:rowOff>
    </xdr:from>
    <xdr:to>
      <xdr:col>4</xdr:col>
      <xdr:colOff>436368</xdr:colOff>
      <xdr:row>24</xdr:row>
      <xdr:rowOff>47625</xdr:rowOff>
    </xdr:to>
    <xdr:pic>
      <xdr:nvPicPr>
        <xdr:cNvPr id="6" name="Image 5">
          <a:extLst>
            <a:ext uri="{FF2B5EF4-FFF2-40B4-BE49-F238E27FC236}">
              <a16:creationId xmlns:a16="http://schemas.microsoft.com/office/drawing/2014/main" id="{78EDE193-9D2A-489A-980F-7231F487B145}"/>
            </a:ext>
          </a:extLst>
        </xdr:cNvPr>
        <xdr:cNvPicPr>
          <a:picLocks noChangeAspect="1"/>
        </xdr:cNvPicPr>
      </xdr:nvPicPr>
      <xdr:blipFill rotWithShape="1">
        <a:blip xmlns:r="http://schemas.openxmlformats.org/officeDocument/2006/relationships" r:embed="rId3"/>
        <a:srcRect l="50298" t="24656" r="36840" b="61453"/>
        <a:stretch/>
      </xdr:blipFill>
      <xdr:spPr>
        <a:xfrm>
          <a:off x="4810124" y="3914775"/>
          <a:ext cx="1160269" cy="704850"/>
        </a:xfrm>
        <a:prstGeom prst="rect">
          <a:avLst/>
        </a:prstGeom>
      </xdr:spPr>
    </xdr:pic>
    <xdr:clientData/>
  </xdr:twoCellAnchor>
  <xdr:twoCellAnchor>
    <xdr:from>
      <xdr:col>2</xdr:col>
      <xdr:colOff>1714500</xdr:colOff>
      <xdr:row>21</xdr:row>
      <xdr:rowOff>0</xdr:rowOff>
    </xdr:from>
    <xdr:to>
      <xdr:col>2</xdr:col>
      <xdr:colOff>2362200</xdr:colOff>
      <xdr:row>24</xdr:row>
      <xdr:rowOff>66675</xdr:rowOff>
    </xdr:to>
    <xdr:sp macro="" textlink="">
      <xdr:nvSpPr>
        <xdr:cNvPr id="7" name="Ellipse 6">
          <a:extLst>
            <a:ext uri="{FF2B5EF4-FFF2-40B4-BE49-F238E27FC236}">
              <a16:creationId xmlns:a16="http://schemas.microsoft.com/office/drawing/2014/main" id="{FE2A878F-4B4A-4E38-828B-28048F5EB0EA}"/>
            </a:ext>
          </a:extLst>
        </xdr:cNvPr>
        <xdr:cNvSpPr/>
      </xdr:nvSpPr>
      <xdr:spPr>
        <a:xfrm>
          <a:off x="5286375" y="3200400"/>
          <a:ext cx="647700" cy="523875"/>
        </a:xfrm>
        <a:prstGeom prst="ellipse">
          <a:avLst/>
        </a:prstGeom>
        <a:solidFill>
          <a:srgbClr val="FF8200">
            <a:alpha val="10196"/>
          </a:srgbClr>
        </a:solidFill>
        <a:ln w="19050">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xdr:col>
      <xdr:colOff>3209925</xdr:colOff>
      <xdr:row>22</xdr:row>
      <xdr:rowOff>133350</xdr:rowOff>
    </xdr:from>
    <xdr:to>
      <xdr:col>2</xdr:col>
      <xdr:colOff>752474</xdr:colOff>
      <xdr:row>22</xdr:row>
      <xdr:rowOff>133350</xdr:rowOff>
    </xdr:to>
    <xdr:cxnSp macro="">
      <xdr:nvCxnSpPr>
        <xdr:cNvPr id="8" name="Connecteur droit avec flèche 7">
          <a:extLst>
            <a:ext uri="{FF2B5EF4-FFF2-40B4-BE49-F238E27FC236}">
              <a16:creationId xmlns:a16="http://schemas.microsoft.com/office/drawing/2014/main" id="{A22A5F50-DD07-4DD5-B651-211307D4A520}"/>
            </a:ext>
          </a:extLst>
        </xdr:cNvPr>
        <xdr:cNvCxnSpPr/>
      </xdr:nvCxnSpPr>
      <xdr:spPr>
        <a:xfrm>
          <a:off x="3971925" y="4324350"/>
          <a:ext cx="790574" cy="0"/>
        </a:xfrm>
        <a:prstGeom prst="straightConnector1">
          <a:avLst/>
        </a:prstGeom>
        <a:ln w="28575">
          <a:solidFill>
            <a:schemeClr val="accent6"/>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xdr:col>
      <xdr:colOff>238125</xdr:colOff>
      <xdr:row>1</xdr:row>
      <xdr:rowOff>66675</xdr:rowOff>
    </xdr:from>
    <xdr:to>
      <xdr:col>3</xdr:col>
      <xdr:colOff>714375</xdr:colOff>
      <xdr:row>3</xdr:row>
      <xdr:rowOff>92021</xdr:rowOff>
    </xdr:to>
    <xdr:pic>
      <xdr:nvPicPr>
        <xdr:cNvPr id="10" name="Image 9">
          <a:extLst>
            <a:ext uri="{FF2B5EF4-FFF2-40B4-BE49-F238E27FC236}">
              <a16:creationId xmlns:a16="http://schemas.microsoft.com/office/drawing/2014/main" id="{89D87152-219E-46E2-80D3-5B91D21DC1B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010150" y="447675"/>
          <a:ext cx="476250" cy="40634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9524</xdr:colOff>
      <xdr:row>6</xdr:row>
      <xdr:rowOff>9526</xdr:rowOff>
    </xdr:from>
    <xdr:to>
      <xdr:col>6</xdr:col>
      <xdr:colOff>201083</xdr:colOff>
      <xdr:row>16</xdr:row>
      <xdr:rowOff>114300</xdr:rowOff>
    </xdr:to>
    <xdr:graphicFrame macro="">
      <xdr:nvGraphicFramePr>
        <xdr:cNvPr id="15" name="Graphique 14">
          <a:extLst>
            <a:ext uri="{FF2B5EF4-FFF2-40B4-BE49-F238E27FC236}">
              <a16:creationId xmlns:a16="http://schemas.microsoft.com/office/drawing/2014/main" id="{037A6290-5AB5-4B04-A445-D15DC787B3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85724</xdr:colOff>
      <xdr:row>12</xdr:row>
      <xdr:rowOff>82911</xdr:rowOff>
    </xdr:from>
    <xdr:to>
      <xdr:col>7</xdr:col>
      <xdr:colOff>609599</xdr:colOff>
      <xdr:row>15</xdr:row>
      <xdr:rowOff>123825</xdr:rowOff>
    </xdr:to>
    <xdr:sp macro="" textlink="'DONNEES DATE A DATE'!C2">
      <xdr:nvSpPr>
        <xdr:cNvPr id="16" name="Ellipse 15">
          <a:extLst>
            <a:ext uri="{FF2B5EF4-FFF2-40B4-BE49-F238E27FC236}">
              <a16:creationId xmlns:a16="http://schemas.microsoft.com/office/drawing/2014/main" id="{A7692D93-DF32-47D1-B3BE-1652E1F199D0}"/>
            </a:ext>
          </a:extLst>
        </xdr:cNvPr>
        <xdr:cNvSpPr/>
      </xdr:nvSpPr>
      <xdr:spPr>
        <a:xfrm>
          <a:off x="5419724" y="2368911"/>
          <a:ext cx="523875" cy="612414"/>
        </a:xfrm>
        <a:prstGeom prst="ellips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fld id="{941D57C8-39C9-433D-9071-AD9F7DC9B65F}" type="TxLink">
            <a:rPr lang="en-US" sz="1100" b="1" i="0" u="none" strike="noStrike">
              <a:solidFill>
                <a:srgbClr val="000000"/>
              </a:solidFill>
              <a:latin typeface="Calibri"/>
              <a:cs typeface="Calibri"/>
            </a:rPr>
            <a:pPr algn="ctr"/>
            <a:t>9,0%</a:t>
          </a:fld>
          <a:endParaRPr lang="fr-FR" sz="1100" b="1">
            <a:solidFill>
              <a:sysClr val="windowText" lastClr="000000"/>
            </a:solidFill>
            <a:latin typeface="+mn-lt"/>
          </a:endParaRPr>
        </a:p>
      </xdr:txBody>
    </xdr:sp>
    <xdr:clientData/>
  </xdr:twoCellAnchor>
  <xdr:twoCellAnchor>
    <xdr:from>
      <xdr:col>9</xdr:col>
      <xdr:colOff>571500</xdr:colOff>
      <xdr:row>6</xdr:row>
      <xdr:rowOff>47626</xdr:rowOff>
    </xdr:from>
    <xdr:to>
      <xdr:col>13</xdr:col>
      <xdr:colOff>723900</xdr:colOff>
      <xdr:row>16</xdr:row>
      <xdr:rowOff>114299</xdr:rowOff>
    </xdr:to>
    <xdr:graphicFrame macro="">
      <xdr:nvGraphicFramePr>
        <xdr:cNvPr id="17" name="Graphique 16">
          <a:extLst>
            <a:ext uri="{FF2B5EF4-FFF2-40B4-BE49-F238E27FC236}">
              <a16:creationId xmlns:a16="http://schemas.microsoft.com/office/drawing/2014/main" id="{D8FA2410-EF52-4722-A9B4-1BA22C30F0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381000</xdr:colOff>
      <xdr:row>18</xdr:row>
      <xdr:rowOff>167337</xdr:rowOff>
    </xdr:from>
    <xdr:to>
      <xdr:col>10</xdr:col>
      <xdr:colOff>105833</xdr:colOff>
      <xdr:row>28</xdr:row>
      <xdr:rowOff>102537</xdr:rowOff>
    </xdr:to>
    <xdr:graphicFrame macro="">
      <xdr:nvGraphicFramePr>
        <xdr:cNvPr id="18" name="Graphique 17">
          <a:extLst>
            <a:ext uri="{FF2B5EF4-FFF2-40B4-BE49-F238E27FC236}">
              <a16:creationId xmlns:a16="http://schemas.microsoft.com/office/drawing/2014/main" id="{89C822DC-177A-4A4E-BA10-F960262C69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59263</xdr:colOff>
      <xdr:row>18</xdr:row>
      <xdr:rowOff>167338</xdr:rowOff>
    </xdr:from>
    <xdr:to>
      <xdr:col>12</xdr:col>
      <xdr:colOff>560917</xdr:colOff>
      <xdr:row>28</xdr:row>
      <xdr:rowOff>102538</xdr:rowOff>
    </xdr:to>
    <xdr:graphicFrame macro="">
      <xdr:nvGraphicFramePr>
        <xdr:cNvPr id="19" name="Graphique 18">
          <a:extLst>
            <a:ext uri="{FF2B5EF4-FFF2-40B4-BE49-F238E27FC236}">
              <a16:creationId xmlns:a16="http://schemas.microsoft.com/office/drawing/2014/main" id="{4D845C45-F6D8-4625-8982-E167D7977F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461434</xdr:colOff>
      <xdr:row>18</xdr:row>
      <xdr:rowOff>177920</xdr:rowOff>
    </xdr:from>
    <xdr:to>
      <xdr:col>15</xdr:col>
      <xdr:colOff>63500</xdr:colOff>
      <xdr:row>28</xdr:row>
      <xdr:rowOff>113120</xdr:rowOff>
    </xdr:to>
    <xdr:graphicFrame macro="">
      <xdr:nvGraphicFramePr>
        <xdr:cNvPr id="20" name="Graphique 19">
          <a:extLst>
            <a:ext uri="{FF2B5EF4-FFF2-40B4-BE49-F238E27FC236}">
              <a16:creationId xmlns:a16="http://schemas.microsoft.com/office/drawing/2014/main" id="{C90DB65B-AD4E-4E8B-98AB-CEFEA36FE8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700232</xdr:colOff>
      <xdr:row>19</xdr:row>
      <xdr:rowOff>21744</xdr:rowOff>
    </xdr:from>
    <xdr:to>
      <xdr:col>7</xdr:col>
      <xdr:colOff>370417</xdr:colOff>
      <xdr:row>28</xdr:row>
      <xdr:rowOff>88419</xdr:rowOff>
    </xdr:to>
    <xdr:graphicFrame macro="">
      <xdr:nvGraphicFramePr>
        <xdr:cNvPr id="21" name="Graphique 20">
          <a:extLst>
            <a:ext uri="{FF2B5EF4-FFF2-40B4-BE49-F238E27FC236}">
              <a16:creationId xmlns:a16="http://schemas.microsoft.com/office/drawing/2014/main" id="{4EC47917-EC9C-46A2-8C2B-69E1FA8E65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5467</xdr:colOff>
      <xdr:row>30</xdr:row>
      <xdr:rowOff>94191</xdr:rowOff>
    </xdr:from>
    <xdr:to>
      <xdr:col>15</xdr:col>
      <xdr:colOff>1867</xdr:colOff>
      <xdr:row>39</xdr:row>
      <xdr:rowOff>190191</xdr:rowOff>
    </xdr:to>
    <xdr:graphicFrame macro="">
      <xdr:nvGraphicFramePr>
        <xdr:cNvPr id="22" name="Graphique 21">
          <a:extLst>
            <a:ext uri="{FF2B5EF4-FFF2-40B4-BE49-F238E27FC236}">
              <a16:creationId xmlns:a16="http://schemas.microsoft.com/office/drawing/2014/main" id="{E9B26062-F097-4276-A593-430AF98352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oneCellAnchor>
    <xdr:from>
      <xdr:col>0</xdr:col>
      <xdr:colOff>0</xdr:colOff>
      <xdr:row>6</xdr:row>
      <xdr:rowOff>9525</xdr:rowOff>
    </xdr:from>
    <xdr:ext cx="917495" cy="217560"/>
    <xdr:sp macro="" textlink="">
      <xdr:nvSpPr>
        <xdr:cNvPr id="23" name="ZoneTexte 22">
          <a:extLst>
            <a:ext uri="{FF2B5EF4-FFF2-40B4-BE49-F238E27FC236}">
              <a16:creationId xmlns:a16="http://schemas.microsoft.com/office/drawing/2014/main" id="{EA33D25F-5EC6-4642-A151-00424AE93731}"/>
            </a:ext>
          </a:extLst>
        </xdr:cNvPr>
        <xdr:cNvSpPr txBox="1"/>
      </xdr:nvSpPr>
      <xdr:spPr>
        <a:xfrm>
          <a:off x="0" y="923925"/>
          <a:ext cx="917495"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800" i="1"/>
            <a:t>base</a:t>
          </a:r>
          <a:r>
            <a:rPr lang="fr-FR" sz="800" i="1" baseline="0"/>
            <a:t> 100 en 2010</a:t>
          </a:r>
          <a:endParaRPr lang="fr-FR" sz="800" i="1"/>
        </a:p>
      </xdr:txBody>
    </xdr:sp>
    <xdr:clientData/>
  </xdr:oneCellAnchor>
  <xdr:oneCellAnchor>
    <xdr:from>
      <xdr:col>7</xdr:col>
      <xdr:colOff>609600</xdr:colOff>
      <xdr:row>18</xdr:row>
      <xdr:rowOff>19050</xdr:rowOff>
    </xdr:from>
    <xdr:ext cx="914546" cy="217560"/>
    <xdr:sp macro="" textlink="">
      <xdr:nvSpPr>
        <xdr:cNvPr id="24" name="ZoneTexte 23">
          <a:extLst>
            <a:ext uri="{FF2B5EF4-FFF2-40B4-BE49-F238E27FC236}">
              <a16:creationId xmlns:a16="http://schemas.microsoft.com/office/drawing/2014/main" id="{A2484C56-B50C-4148-8688-49C0073F725C}"/>
            </a:ext>
          </a:extLst>
        </xdr:cNvPr>
        <xdr:cNvSpPr txBox="1"/>
      </xdr:nvSpPr>
      <xdr:spPr>
        <a:xfrm>
          <a:off x="4905375" y="2762250"/>
          <a:ext cx="914546" cy="21756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800" i="1"/>
            <a:t>base</a:t>
          </a:r>
          <a:r>
            <a:rPr lang="fr-FR" sz="800" i="1" baseline="0"/>
            <a:t> 100 en 2010</a:t>
          </a:r>
          <a:endParaRPr lang="fr-FR" sz="800" i="1"/>
        </a:p>
      </xdr:txBody>
    </xdr:sp>
    <xdr:clientData/>
  </xdr:oneCellAnchor>
  <xdr:oneCellAnchor>
    <xdr:from>
      <xdr:col>10</xdr:col>
      <xdr:colOff>122767</xdr:colOff>
      <xdr:row>18</xdr:row>
      <xdr:rowOff>19050</xdr:rowOff>
    </xdr:from>
    <xdr:ext cx="914546" cy="217560"/>
    <xdr:sp macro="" textlink="">
      <xdr:nvSpPr>
        <xdr:cNvPr id="25" name="ZoneTexte 24">
          <a:extLst>
            <a:ext uri="{FF2B5EF4-FFF2-40B4-BE49-F238E27FC236}">
              <a16:creationId xmlns:a16="http://schemas.microsoft.com/office/drawing/2014/main" id="{B1482E16-4DF7-445F-B28B-F28B5162CFA1}"/>
            </a:ext>
          </a:extLst>
        </xdr:cNvPr>
        <xdr:cNvSpPr txBox="1"/>
      </xdr:nvSpPr>
      <xdr:spPr>
        <a:xfrm>
          <a:off x="7742767" y="3448050"/>
          <a:ext cx="914546" cy="21756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800" i="1"/>
            <a:t>base</a:t>
          </a:r>
          <a:r>
            <a:rPr lang="fr-FR" sz="800" i="1" baseline="0"/>
            <a:t> 100 en 2008</a:t>
          </a:r>
          <a:endParaRPr lang="fr-FR" sz="800" i="1"/>
        </a:p>
      </xdr:txBody>
    </xdr:sp>
    <xdr:clientData/>
  </xdr:oneCellAnchor>
  <xdr:oneCellAnchor>
    <xdr:from>
      <xdr:col>12</xdr:col>
      <xdr:colOff>387350</xdr:colOff>
      <xdr:row>18</xdr:row>
      <xdr:rowOff>19050</xdr:rowOff>
    </xdr:from>
    <xdr:ext cx="914546" cy="217560"/>
    <xdr:sp macro="" textlink="">
      <xdr:nvSpPr>
        <xdr:cNvPr id="26" name="ZoneTexte 25">
          <a:extLst>
            <a:ext uri="{FF2B5EF4-FFF2-40B4-BE49-F238E27FC236}">
              <a16:creationId xmlns:a16="http://schemas.microsoft.com/office/drawing/2014/main" id="{CFA35DB5-2853-443C-9968-93A12C611521}"/>
            </a:ext>
          </a:extLst>
        </xdr:cNvPr>
        <xdr:cNvSpPr txBox="1"/>
      </xdr:nvSpPr>
      <xdr:spPr>
        <a:xfrm>
          <a:off x="9531350" y="3257550"/>
          <a:ext cx="914546" cy="21756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800" i="1"/>
            <a:t>base</a:t>
          </a:r>
          <a:r>
            <a:rPr lang="fr-FR" sz="800" i="1" baseline="0"/>
            <a:t> 100 en 2021</a:t>
          </a:r>
          <a:endParaRPr lang="fr-FR" sz="800" i="1"/>
        </a:p>
      </xdr:txBody>
    </xdr:sp>
    <xdr:clientData/>
  </xdr:oneCellAnchor>
  <xdr:twoCellAnchor>
    <xdr:from>
      <xdr:col>9</xdr:col>
      <xdr:colOff>16933</xdr:colOff>
      <xdr:row>30</xdr:row>
      <xdr:rowOff>93133</xdr:rowOff>
    </xdr:from>
    <xdr:to>
      <xdr:col>11</xdr:col>
      <xdr:colOff>963083</xdr:colOff>
      <xdr:row>39</xdr:row>
      <xdr:rowOff>189133</xdr:rowOff>
    </xdr:to>
    <xdr:graphicFrame macro="">
      <xdr:nvGraphicFramePr>
        <xdr:cNvPr id="27" name="Graphique 8">
          <a:extLst>
            <a:ext uri="{FF2B5EF4-FFF2-40B4-BE49-F238E27FC236}">
              <a16:creationId xmlns:a16="http://schemas.microsoft.com/office/drawing/2014/main" id="{17DB655C-A333-4A19-8E52-7228FAB70E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Thème1">
  <a:themeElements>
    <a:clrScheme name="Personnalisé 7">
      <a:dk1>
        <a:srgbClr val="000000"/>
      </a:dk1>
      <a:lt1>
        <a:srgbClr val="FFFFFF"/>
      </a:lt1>
      <a:dk2>
        <a:srgbClr val="44546A"/>
      </a:dk2>
      <a:lt2>
        <a:srgbClr val="F7F9FB"/>
      </a:lt2>
      <a:accent1>
        <a:srgbClr val="0A14B4"/>
      </a:accent1>
      <a:accent2>
        <a:srgbClr val="0046C8"/>
      </a:accent2>
      <a:accent3>
        <a:srgbClr val="008CF0"/>
      </a:accent3>
      <a:accent4>
        <a:srgbClr val="14EBDB"/>
      </a:accent4>
      <a:accent5>
        <a:srgbClr val="0ABFC7"/>
      </a:accent5>
      <a:accent6>
        <a:srgbClr val="FF8200"/>
      </a:accent6>
      <a:hlink>
        <a:srgbClr val="004288"/>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Personnalisé 7">
    <a:dk1>
      <a:srgbClr val="000000"/>
    </a:dk1>
    <a:lt1>
      <a:srgbClr val="FFFFFF"/>
    </a:lt1>
    <a:dk2>
      <a:srgbClr val="44546A"/>
    </a:dk2>
    <a:lt2>
      <a:srgbClr val="F7F9FB"/>
    </a:lt2>
    <a:accent1>
      <a:srgbClr val="0A14B4"/>
    </a:accent1>
    <a:accent2>
      <a:srgbClr val="0046C8"/>
    </a:accent2>
    <a:accent3>
      <a:srgbClr val="008CF0"/>
    </a:accent3>
    <a:accent4>
      <a:srgbClr val="14EBDB"/>
    </a:accent4>
    <a:accent5>
      <a:srgbClr val="0ABFC7"/>
    </a:accent5>
    <a:accent6>
      <a:srgbClr val="FF8200"/>
    </a:accent6>
    <a:hlink>
      <a:srgbClr val="004288"/>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Personnalisé 7">
    <a:dk1>
      <a:srgbClr val="000000"/>
    </a:dk1>
    <a:lt1>
      <a:srgbClr val="FFFFFF"/>
    </a:lt1>
    <a:dk2>
      <a:srgbClr val="44546A"/>
    </a:dk2>
    <a:lt2>
      <a:srgbClr val="F7F9FB"/>
    </a:lt2>
    <a:accent1>
      <a:srgbClr val="0A14B4"/>
    </a:accent1>
    <a:accent2>
      <a:srgbClr val="0046C8"/>
    </a:accent2>
    <a:accent3>
      <a:srgbClr val="008CF0"/>
    </a:accent3>
    <a:accent4>
      <a:srgbClr val="14EBDB"/>
    </a:accent4>
    <a:accent5>
      <a:srgbClr val="0ABFC7"/>
    </a:accent5>
    <a:accent6>
      <a:srgbClr val="FF8200"/>
    </a:accent6>
    <a:hlink>
      <a:srgbClr val="004288"/>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Personnalisé 7">
    <a:dk1>
      <a:srgbClr val="000000"/>
    </a:dk1>
    <a:lt1>
      <a:srgbClr val="FFFFFF"/>
    </a:lt1>
    <a:dk2>
      <a:srgbClr val="44546A"/>
    </a:dk2>
    <a:lt2>
      <a:srgbClr val="F7F9FB"/>
    </a:lt2>
    <a:accent1>
      <a:srgbClr val="0A14B4"/>
    </a:accent1>
    <a:accent2>
      <a:srgbClr val="0046C8"/>
    </a:accent2>
    <a:accent3>
      <a:srgbClr val="008CF0"/>
    </a:accent3>
    <a:accent4>
      <a:srgbClr val="14EBDB"/>
    </a:accent4>
    <a:accent5>
      <a:srgbClr val="0ABFC7"/>
    </a:accent5>
    <a:accent6>
      <a:srgbClr val="FF8200"/>
    </a:accent6>
    <a:hlink>
      <a:srgbClr val="004288"/>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hyperlink" Target="https://www.insee.fr/fr/statistiques/serie/001711003" TargetMode="External"/><Relationship Id="rId2" Type="http://schemas.openxmlformats.org/officeDocument/2006/relationships/hyperlink" Target="https://www.insee.fr/fr/statistiques/serie/001711001" TargetMode="External"/><Relationship Id="rId1" Type="http://schemas.openxmlformats.org/officeDocument/2006/relationships/hyperlink" Target="https://www.insee.fr/fr/statistiques/serie/001710987" TargetMode="External"/><Relationship Id="rId4"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8" Type="http://schemas.openxmlformats.org/officeDocument/2006/relationships/hyperlink" Target="https://www.insee.fr/fr/statistiques/serie/011816634" TargetMode="External"/><Relationship Id="rId3" Type="http://schemas.openxmlformats.org/officeDocument/2006/relationships/hyperlink" Target="https://www.insee.fr/fr/statistiques/serie/010605983" TargetMode="External"/><Relationship Id="rId7" Type="http://schemas.openxmlformats.org/officeDocument/2006/relationships/hyperlink" Target="https://www.insee.fr/fr/statistiques/serie/010777582" TargetMode="External"/><Relationship Id="rId2" Type="http://schemas.openxmlformats.org/officeDocument/2006/relationships/hyperlink" Target="https://www.insee.fr/fr/statistiques/serie/010764179" TargetMode="External"/><Relationship Id="rId1" Type="http://schemas.openxmlformats.org/officeDocument/2006/relationships/hyperlink" Target="https://www.insee.fr/fr/statistiques/serie/010766292" TargetMode="External"/><Relationship Id="rId6" Type="http://schemas.openxmlformats.org/officeDocument/2006/relationships/hyperlink" Target="https://www.insee.fr/fr/statistiques/serie/010777583" TargetMode="External"/><Relationship Id="rId5" Type="http://schemas.openxmlformats.org/officeDocument/2006/relationships/hyperlink" Target="https://www.insee.fr/fr/statistiques/serie/001711002" TargetMode="External"/><Relationship Id="rId4" Type="http://schemas.openxmlformats.org/officeDocument/2006/relationships/hyperlink" Target="https://www.insee.fr/fr/statistiques/serie/001711002" TargetMode="External"/><Relationship Id="rId9"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hyperlink" Target="https://www.insee.fr/fr/statistiques/serie/001711002" TargetMode="External"/><Relationship Id="rId2" Type="http://schemas.openxmlformats.org/officeDocument/2006/relationships/hyperlink" Target="https://www.insee.fr/fr/statistiques/serie/010605983" TargetMode="External"/><Relationship Id="rId1" Type="http://schemas.openxmlformats.org/officeDocument/2006/relationships/hyperlink" Target="https://www.insee.fr/fr/statistiques/serie/010534776" TargetMode="External"/><Relationship Id="rId6" Type="http://schemas.openxmlformats.org/officeDocument/2006/relationships/printerSettings" Target="../printerSettings/printerSettings12.bin"/><Relationship Id="rId5" Type="http://schemas.openxmlformats.org/officeDocument/2006/relationships/hyperlink" Target="https://www.insee.fr/fr/statistiques/8308500" TargetMode="External"/><Relationship Id="rId4" Type="http://schemas.openxmlformats.org/officeDocument/2006/relationships/hyperlink" Target="https://www.insee.fr/fr/statistiques/serie/001711002"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8" Type="http://schemas.openxmlformats.org/officeDocument/2006/relationships/hyperlink" Target="https://www.insee.fr/fr/statistiques/8682743" TargetMode="External"/><Relationship Id="rId3" Type="http://schemas.openxmlformats.org/officeDocument/2006/relationships/hyperlink" Target="https://www.insee.fr/fr/statistiques/serie/010534776" TargetMode="External"/><Relationship Id="rId7" Type="http://schemas.openxmlformats.org/officeDocument/2006/relationships/hyperlink" Target="https://www.insee.fr/fr/statistiques/8682743" TargetMode="External"/><Relationship Id="rId12" Type="http://schemas.openxmlformats.org/officeDocument/2006/relationships/hyperlink" Target="https://www.insee.fr/fr/statistiques/serie/011816634" TargetMode="External"/><Relationship Id="rId2" Type="http://schemas.openxmlformats.org/officeDocument/2006/relationships/hyperlink" Target="https://www.insee.fr/fr/statistiques/serie/010534776" TargetMode="External"/><Relationship Id="rId1" Type="http://schemas.openxmlformats.org/officeDocument/2006/relationships/hyperlink" Target="https://www.insee.fr/fr/statistiques/serie/010534776" TargetMode="External"/><Relationship Id="rId6" Type="http://schemas.openxmlformats.org/officeDocument/2006/relationships/hyperlink" Target="https://www.insee.fr/fr/statistiques/serie/010764179" TargetMode="External"/><Relationship Id="rId11" Type="http://schemas.openxmlformats.org/officeDocument/2006/relationships/hyperlink" Target="https://www.insee.fr/fr/statistiques/8899388" TargetMode="External"/><Relationship Id="rId5" Type="http://schemas.openxmlformats.org/officeDocument/2006/relationships/hyperlink" Target="https://www.insee.fr/fr/statistiques/serie/010766292" TargetMode="External"/><Relationship Id="rId10" Type="http://schemas.openxmlformats.org/officeDocument/2006/relationships/hyperlink" Target="https://www.insee.fr/fr/statistiques/8682743" TargetMode="External"/><Relationship Id="rId4" Type="http://schemas.openxmlformats.org/officeDocument/2006/relationships/hyperlink" Target="https://www.insee.fr/fr/statistiques/serie/010534776" TargetMode="External"/><Relationship Id="rId9" Type="http://schemas.openxmlformats.org/officeDocument/2006/relationships/hyperlink" Target="https://www.insee.fr/fr/statistiques/8682743" TargetMode="Externa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3" Type="http://schemas.openxmlformats.org/officeDocument/2006/relationships/hyperlink" Target="https://www.insee.fr/fr/statistiques/serie/001565195" TargetMode="External"/><Relationship Id="rId18" Type="http://schemas.openxmlformats.org/officeDocument/2006/relationships/hyperlink" Target="https://www.insee.fr/fr/statistiques/serie/010764297" TargetMode="External"/><Relationship Id="rId26" Type="http://schemas.openxmlformats.org/officeDocument/2006/relationships/hyperlink" Target="https://www.insee.fr/fr/statistiques/serie/010764149" TargetMode="External"/><Relationship Id="rId39" Type="http://schemas.openxmlformats.org/officeDocument/2006/relationships/hyperlink" Target="https://www.insee.fr/fr/statistiques/serie/010764306" TargetMode="External"/><Relationship Id="rId21" Type="http://schemas.openxmlformats.org/officeDocument/2006/relationships/hyperlink" Target="https://www.insee.fr/fr/statistiques/serie/010764180" TargetMode="External"/><Relationship Id="rId34" Type="http://schemas.openxmlformats.org/officeDocument/2006/relationships/hyperlink" Target="https://www.insee.fr/fr/statistiques/serie/010764228" TargetMode="External"/><Relationship Id="rId42" Type="http://schemas.openxmlformats.org/officeDocument/2006/relationships/printerSettings" Target="../printerSettings/printerSettings3.bin"/><Relationship Id="rId7" Type="http://schemas.openxmlformats.org/officeDocument/2006/relationships/hyperlink" Target="https://www.insee.fr/fr/statistiques/serie/001711943" TargetMode="External"/><Relationship Id="rId2" Type="http://schemas.openxmlformats.org/officeDocument/2006/relationships/hyperlink" Target="https://www.insee.fr/fr/statistiques/serie/010764195" TargetMode="External"/><Relationship Id="rId16" Type="http://schemas.openxmlformats.org/officeDocument/2006/relationships/hyperlink" Target="'https:/www.insee.fr/fr/statistiques/serie/010777519" TargetMode="External"/><Relationship Id="rId20" Type="http://schemas.openxmlformats.org/officeDocument/2006/relationships/hyperlink" Target="https://www.insee.fr/fr/statistiques/serie/010764116" TargetMode="External"/><Relationship Id="rId29" Type="http://schemas.openxmlformats.org/officeDocument/2006/relationships/hyperlink" Target="https://www.insee.fr/fr/statistiques/serie/010764181" TargetMode="External"/><Relationship Id="rId41" Type="http://schemas.openxmlformats.org/officeDocument/2006/relationships/hyperlink" Target="https://www.insee.fr/fr/statistiques/serie/011816634" TargetMode="External"/><Relationship Id="rId1" Type="http://schemas.openxmlformats.org/officeDocument/2006/relationships/hyperlink" Target="https://www.insee.fr/fr/statistiques/serie/010764136" TargetMode="External"/><Relationship Id="rId6" Type="http://schemas.openxmlformats.org/officeDocument/2006/relationships/hyperlink" Target="https://www.insee.fr/fr/statistiques/serie/001764283" TargetMode="External"/><Relationship Id="rId11" Type="http://schemas.openxmlformats.org/officeDocument/2006/relationships/hyperlink" Target="MAJ%20FINALE/'https:/www.insee.fr/fr/statistiques/serie/010764187" TargetMode="External"/><Relationship Id="rId24" Type="http://schemas.openxmlformats.org/officeDocument/2006/relationships/hyperlink" Target="https://www.insee.fr/fr/statistiques/serie/010764160" TargetMode="External"/><Relationship Id="rId32" Type="http://schemas.openxmlformats.org/officeDocument/2006/relationships/hyperlink" Target="https://www.insee.fr/fr/statistiques/serie/010764179" TargetMode="External"/><Relationship Id="rId37" Type="http://schemas.openxmlformats.org/officeDocument/2006/relationships/hyperlink" Target="https://www.insee.fr/fr/statistiques/serie/010763881" TargetMode="External"/><Relationship Id="rId40" Type="http://schemas.openxmlformats.org/officeDocument/2006/relationships/hyperlink" Target="https://www.insee.fr/fr/statistiques/serie/010764301" TargetMode="External"/><Relationship Id="rId5" Type="http://schemas.openxmlformats.org/officeDocument/2006/relationships/hyperlink" Target="https://www.insee.fr/fr/statistiques/serie/001711011" TargetMode="External"/><Relationship Id="rId15" Type="http://schemas.openxmlformats.org/officeDocument/2006/relationships/hyperlink" Target="https://www.insee.fr/fr/statistiques/7647414" TargetMode="External"/><Relationship Id="rId23" Type="http://schemas.openxmlformats.org/officeDocument/2006/relationships/hyperlink" Target="https://www.insee.fr/fr/statistiques/serie/010765500" TargetMode="External"/><Relationship Id="rId28" Type="http://schemas.openxmlformats.org/officeDocument/2006/relationships/hyperlink" Target="https://www.insee.fr/fr/statistiques/serie/010763871" TargetMode="External"/><Relationship Id="rId36" Type="http://schemas.openxmlformats.org/officeDocument/2006/relationships/hyperlink" Target="https://www.insee.fr/fr/statistiques/serie/010763825" TargetMode="External"/><Relationship Id="rId10" Type="http://schemas.openxmlformats.org/officeDocument/2006/relationships/hyperlink" Target="https://www.insee.fr/fr/statistiques/serie/010764101" TargetMode="External"/><Relationship Id="rId19" Type="http://schemas.openxmlformats.org/officeDocument/2006/relationships/hyperlink" Target="https://www.insee.fr/fr/statistiques/serie/010763845" TargetMode="External"/><Relationship Id="rId31" Type="http://schemas.openxmlformats.org/officeDocument/2006/relationships/hyperlink" Target="https://www.insee.fr/fr/statistiques/serie/010766292" TargetMode="External"/><Relationship Id="rId4" Type="http://schemas.openxmlformats.org/officeDocument/2006/relationships/hyperlink" Target="https://www.insee.fr/fr/statistiques/serie/010764223" TargetMode="External"/><Relationship Id="rId9" Type="http://schemas.openxmlformats.org/officeDocument/2006/relationships/hyperlink" Target="https://www.insee.fr/fr/statistiques/serie/010764143" TargetMode="External"/><Relationship Id="rId14" Type="http://schemas.openxmlformats.org/officeDocument/2006/relationships/hyperlink" Target="https://www.insee.fr/fr/statistiques/serie/001711009" TargetMode="External"/><Relationship Id="rId22" Type="http://schemas.openxmlformats.org/officeDocument/2006/relationships/hyperlink" Target="https://www.insee.fr/fr/statistiques/serie/010766236" TargetMode="External"/><Relationship Id="rId27" Type="http://schemas.openxmlformats.org/officeDocument/2006/relationships/hyperlink" Target="https://www.insee.fr/fr/statistiques/serie/010765837" TargetMode="External"/><Relationship Id="rId30" Type="http://schemas.openxmlformats.org/officeDocument/2006/relationships/hyperlink" Target="https://www.insee.fr/fr/statistiques/serie/010766292" TargetMode="External"/><Relationship Id="rId35" Type="http://schemas.openxmlformats.org/officeDocument/2006/relationships/hyperlink" Target="https://www.insee.fr/fr/statistiques/serie/010764834" TargetMode="External"/><Relationship Id="rId8" Type="http://schemas.openxmlformats.org/officeDocument/2006/relationships/hyperlink" Target="https://www.insee.fr/fr/statistiques/serie/010764172" TargetMode="External"/><Relationship Id="rId3" Type="http://schemas.openxmlformats.org/officeDocument/2006/relationships/hyperlink" Target="https://www.insee.fr/fr/statistiques/serie/010763930" TargetMode="External"/><Relationship Id="rId12" Type="http://schemas.openxmlformats.org/officeDocument/2006/relationships/hyperlink" Target="https://www.insee.fr/fr/statistiques/serie/010764179" TargetMode="External"/><Relationship Id="rId17" Type="http://schemas.openxmlformats.org/officeDocument/2006/relationships/hyperlink" Target="https://www.insee.fr/fr/statistiques/serie/010764291" TargetMode="External"/><Relationship Id="rId25" Type="http://schemas.openxmlformats.org/officeDocument/2006/relationships/hyperlink" Target="https://www.insee.fr/fr/statistiques/serie/010764176" TargetMode="External"/><Relationship Id="rId33" Type="http://schemas.openxmlformats.org/officeDocument/2006/relationships/hyperlink" Target="MAJ%20FINALE\'https:\www.insee.fr\fr\statistiques\serie\010764224" TargetMode="External"/><Relationship Id="rId38" Type="http://schemas.openxmlformats.org/officeDocument/2006/relationships/hyperlink" Target="https://www.insee.fr/fr/statistiques/serie/010765839"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view.officeapps.live.com/op/view.aspx?src=https%3A%2F%2Fwww.ecologie.gouv.fr%2Fsites%2Fdefault%2Ffiles%2FPrix%2520HTT%2520et%2520TTC%2520depuis%2520janvier%25202020.xlsx&amp;wdOrigin=BROWSELINK" TargetMode="External"/><Relationship Id="rId2" Type="http://schemas.openxmlformats.org/officeDocument/2006/relationships/hyperlink" Target="https://view.officeapps.live.com/op/view.aspx?src=https%3A%2F%2Fwww.ecologie.gouv.fr%2Fsites%2Fdefault%2Ffiles%2FPrix%2520HTT%2520et%2520TTC%2520depuis%2520janvier%25202020.xlsx&amp;wdOrigin=BROWSELINK" TargetMode="External"/><Relationship Id="rId1" Type="http://schemas.openxmlformats.org/officeDocument/2006/relationships/hyperlink" Target="https://www.insee.fr/fr/statistiques/serie/010002074"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E6BBF-A924-462F-A98A-9E2FC6C7B902}">
  <sheetPr codeName="Feuil15">
    <tabColor rgb="FFFFC000"/>
  </sheetPr>
  <dimension ref="A1:G18"/>
  <sheetViews>
    <sheetView workbookViewId="0">
      <selection activeCell="D18" sqref="D18"/>
    </sheetView>
  </sheetViews>
  <sheetFormatPr baseColWidth="10" defaultRowHeight="15"/>
  <cols>
    <col min="1" max="1" width="55.7109375" bestFit="1" customWidth="1"/>
    <col min="2" max="2" width="14.85546875" bestFit="1" customWidth="1"/>
    <col min="3" max="3" width="8" bestFit="1" customWidth="1"/>
    <col min="5" max="5" width="33.5703125" bestFit="1" customWidth="1"/>
  </cols>
  <sheetData>
    <row r="1" spans="1:7" ht="15.75">
      <c r="A1" s="102" t="s">
        <v>189</v>
      </c>
    </row>
    <row r="4" spans="1:7">
      <c r="A4" s="103" t="s">
        <v>190</v>
      </c>
      <c r="B4" t="str">
        <f>UPPER(TEXT(DATE3,"mmmmmmmm aaaa"))</f>
        <v>MAI 2026</v>
      </c>
      <c r="C4" s="226">
        <v>46143</v>
      </c>
      <c r="E4" s="103" t="s">
        <v>244</v>
      </c>
      <c r="F4" t="str">
        <f>UPPER(TEXT(DATE4,"mmmmmmmm aaaa"))</f>
        <v>MAI 2026</v>
      </c>
      <c r="G4" s="227">
        <v>46143</v>
      </c>
    </row>
    <row r="5" spans="1:7">
      <c r="A5" t="str">
        <f>"*/"&amp;TEXT(EDATE(DATE3,-12),"aaaa")&amp;" = Cumul janv "&amp;TEXT(DATE3,"aaaa")&amp;"-"&amp;TEXT(DATE3,"mmm aaaa")&amp;" / Cumul janv "&amp;TEXT(EDATE(DATE3,-12),"aaaa")&amp;"-"&amp;TEXT(EDATE(DATE3,-12),"mmm aaaa")</f>
        <v>*/2025 = Cumul janv 2026-mai 2026 / Cumul janv 2025-mai 2025</v>
      </c>
      <c r="E5" t="str">
        <f>"*/"&amp;TEXT(EDATE(DATE4,-12),"aaaa")&amp;" = Cumul janv "&amp;TEXT(DATE4,"aaaa")&amp;"-"&amp;TEXT(DATE4,"mmm aaaa")&amp;" / Cumul janv "&amp;TEXT(EDATE(DATE4,-12),"aaaa")&amp;"-"&amp;TEXT(EDATE(DATE4,-12),"mmm aaaa")</f>
        <v>*/2025 = Cumul janv 2026-mai 2026 / Cumul janv 2025-mai 2025</v>
      </c>
    </row>
    <row r="6" spans="1:7">
      <c r="A6" t="str">
        <f>"*/"&amp;TEXT(EDATE(DATE3,-24),"aaaa")&amp;" = Cumul janv "&amp;TEXT(DATE3,"aaaa")&amp;"-"&amp;TEXT(DATE3,"mmm aaaa")&amp;" / Cumul janv "&amp;TEXT(EDATE(DATE3,-24),"aaaa")&amp;"-"&amp;TEXT(EDATE(DATE3,-24),"mmm aaaa")</f>
        <v>*/2024 = Cumul janv 2026-mai 2026 / Cumul janv 2024-mai 2024</v>
      </c>
      <c r="E6" t="str">
        <f>"*/"&amp;TEXT(EDATE(DATE4,-24),"aaaa")&amp;" = Cumul janv "&amp;TEXT(DATE4,"aaaa")&amp;"-"&amp;TEXT(DATE4,"mmm aaaa")&amp;" / Cumul janv "&amp;TEXT(EDATE(DATE4,-24),"aaaa")&amp;"-"&amp;TEXT(EDATE(DATE4,-24),"mmm aaaa")</f>
        <v>*/2024 = Cumul janv 2026-mai 2026 / Cumul janv 2024-mai 2024</v>
      </c>
    </row>
    <row r="7" spans="1:7">
      <c r="A7" t="str">
        <f>"*3 mois = Cumul "&amp;TEXT(EDATE(DATE3,-2),"mmm aaaa")&amp;"-"&amp;TEXT(DATE3,"mmm aaaa")&amp;" / Cumul "&amp;TEXT(EDATE(DATE3,-5),"mmm aaaa")&amp;"-"&amp;TEXT(EDATE(DATE3,-3),"mmm aaaa")</f>
        <v>*3 mois = Cumul mars 2026-mai 2026 / Cumul déc 2025-févr 2026</v>
      </c>
      <c r="E7" t="str">
        <f>"*3 mois = Cumul "&amp;TEXT(EDATE(DATE4,-2),"mmm aaaa")&amp;"-"&amp;TEXT(DATE4,"mmm aaaa")&amp;" / Cumul "&amp;TEXT(EDATE(DATE4,-5),"mmm aaaa")&amp;"-"&amp;TEXT(EDATE(DATE4,-3),"mmm aaaa")</f>
        <v>*3 mois = Cumul mars 2026-mai 2026 / Cumul déc 2025-févr 2026</v>
      </c>
    </row>
    <row r="8" spans="1:7">
      <c r="A8" t="str">
        <f>"*6 mois = Cumul "&amp;TEXT(EDATE(DATE3,-5),"mmm aaaa")&amp;"-"&amp;TEXT(DATE3,"mmm aaaa")&amp;" / Cumul "&amp;TEXT(EDATE(DATE3,-11),"mmm aaaa")&amp;"-"&amp;TEXT(EDATE(DATE3,-6),"mmm aaaa")</f>
        <v>*6 mois = Cumul déc 2025-mai 2026 / Cumul juin 2025-nov 2025</v>
      </c>
      <c r="E8" t="str">
        <f>"*6 mois = Cumul "&amp;TEXT(EDATE(DATE4,-5),"mmm aaaa")&amp;"-"&amp;TEXT(DATE4,"mmm aaaa")&amp;" / Cumul "&amp;TEXT(EDATE(DATE4,-11),"mmm aaaa")&amp;"-"&amp;TEXT(EDATE(DATE4,-6),"mmm aaaa")</f>
        <v>*6 mois = Cumul déc 2025-mai 2026 / Cumul juin 2025-nov 2025</v>
      </c>
    </row>
    <row r="9" spans="1:7">
      <c r="A9" t="str">
        <f>"*/"&amp;TEXT(EDATE(DATE3,-24),"aaaa")</f>
        <v>*/2024</v>
      </c>
      <c r="E9" t="str">
        <f>"*12 mois =  Cumul "&amp;TEXT(EDATE(DATE4,-11),"mmm aaaa")&amp;"-"&amp;TEXT(DATE4,"mmm aaaa")&amp;" / Cumul "&amp;TEXT(EDATE(DATE4,-23),"mmm aaaa")&amp;"-"&amp;TEXT(EDATE(DATE4,-12),"mmm aaaa")</f>
        <v>*12 mois =  Cumul juin 2025-mai 2026 / Cumul juin 2024-mai 2025</v>
      </c>
    </row>
    <row r="10" spans="1:7">
      <c r="A10" t="str">
        <f>"*/"&amp;TEXT(EDATE(DATE3,-12),"aaaa")</f>
        <v>*/2025</v>
      </c>
      <c r="E10" t="str">
        <f>"*24 mois =  Cumul "&amp;TEXT(EDATE(DATE4,-11),"mmm aaaa")&amp;"-"&amp;TEXT(DATE4,"mmm aaaa")&amp;" / Cumul "&amp;TEXT(EDATE(DATE4,-35),"mmm aaaa")&amp;"-"&amp;TEXT(EDATE(DATE4,-24),"mmm aaaa")</f>
        <v>*24 mois =  Cumul juin 2025-mai 2026 / Cumul juin 2023-mai 2024</v>
      </c>
    </row>
    <row r="11" spans="1:7">
      <c r="A11" t="s">
        <v>41</v>
      </c>
      <c r="E11" t="str">
        <f>"*/"&amp;TEXT(EDATE(DATE4,-24),"aaaa")</f>
        <v>*/2024</v>
      </c>
    </row>
    <row r="12" spans="1:7">
      <c r="A12" t="s">
        <v>42</v>
      </c>
      <c r="E12" t="str">
        <f>"*/"&amp;TEXT(EDATE(DATE4,-12),"aaaa")</f>
        <v>*/2025</v>
      </c>
    </row>
    <row r="13" spans="1:7">
      <c r="E13" t="s">
        <v>251</v>
      </c>
    </row>
    <row r="14" spans="1:7">
      <c r="E14" t="s">
        <v>252</v>
      </c>
    </row>
    <row r="15" spans="1:7" ht="15.75">
      <c r="A15" s="102" t="s">
        <v>180</v>
      </c>
      <c r="E15" t="str">
        <f>"*/"&amp;TEXT(EDATE(DATE4,-12),"Mmmmmmm aaaa")</f>
        <v>*/mai 2025</v>
      </c>
    </row>
    <row r="16" spans="1:7">
      <c r="A16" s="97">
        <f>DATE1</f>
        <v>43101</v>
      </c>
      <c r="E16" t="str">
        <f>"*/"&amp;TEXT(EDATE(DATE4,-24),"mmmmmmm aaaa")</f>
        <v>*/mai 2024</v>
      </c>
    </row>
    <row r="17" spans="1:5">
      <c r="A17" s="97">
        <f>DATE2</f>
        <v>46143</v>
      </c>
      <c r="E17" t="str">
        <f xml:space="preserve"> "*/"&amp;TEXT(EDATE(DATE4,-12), "mmmmmmmm aaaa")&amp;" = "&amp; TEXT(DATE4,  "mmmmmmmm aaaa" ) &amp;"/"&amp;TEXT(EDATE(DATE4,-12), "mmmmmmmm aaaa")</f>
        <v>*/mai 2025 = mai 2026/mai 2025</v>
      </c>
    </row>
    <row r="18" spans="1:5">
      <c r="A18" s="97"/>
      <c r="E18" t="str">
        <f xml:space="preserve"> "*/"&amp;TEXT(EDATE(DATE4,-24), "mmmmmmmm aaaa")&amp;" = "&amp; TEXT(DATE4,  "mmmmmmmm aaaa" ) &amp;"/"&amp;TEXT(EDATE(DATE4,-24), "mmmmmmmm aaaa")</f>
        <v>*/mai 2024 = mai 2026/mai 2024</v>
      </c>
    </row>
  </sheetData>
  <sheetProtection algorithmName="SHA-512" hashValue="rd+3GxwZ//S2SVSoiX4mHFYDNGau7FFU3jR4yRUqA2VZSuoRLs9WJEdtXWRD0vqtR22GlG0FWPUyDGPrCSrFqw==" saltValue="zlPpn13H0/BVyDLM1Ud8bA==" spinCount="100000" sheet="1" insertColumns="0" insertRows="0" insertHyperlinks="0" deleteColumns="0" deleteRows="0" sort="0" autoFilter="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19060-A7A3-46B6-8F09-7435B4B0354F}">
  <sheetPr codeName="Feuil20">
    <tabColor rgb="FF92D050"/>
  </sheetPr>
  <dimension ref="A1:W126"/>
  <sheetViews>
    <sheetView topLeftCell="A14" workbookViewId="0">
      <selection activeCell="I38" sqref="I38"/>
    </sheetView>
  </sheetViews>
  <sheetFormatPr baseColWidth="10" defaultColWidth="11.42578125" defaultRowHeight="15"/>
  <cols>
    <col min="1" max="1" width="13.42578125" style="95" bestFit="1" customWidth="1"/>
    <col min="8" max="8" width="14.140625" bestFit="1" customWidth="1"/>
    <col min="12" max="12" width="14.28515625" customWidth="1"/>
  </cols>
  <sheetData>
    <row r="1" spans="1:23">
      <c r="A1" s="95" t="s">
        <v>176</v>
      </c>
      <c r="C1" t="str">
        <f>'RESULTATS DATE A DATE'!B3</f>
        <v>TP02</v>
      </c>
      <c r="E1" s="88">
        <f>DATE1</f>
        <v>43101</v>
      </c>
      <c r="F1" s="89"/>
      <c r="G1" s="88"/>
      <c r="H1" s="89"/>
      <c r="I1" s="90"/>
    </row>
    <row r="2" spans="1:23">
      <c r="A2" s="95" t="s">
        <v>172</v>
      </c>
      <c r="C2" s="84">
        <f>SUM(INDEX(compo_index,MATCH(C1,'COMPOSITION INDEX'!A1:A26),2))</f>
        <v>0.09</v>
      </c>
      <c r="E2" s="88">
        <f>DATE2</f>
        <v>46143</v>
      </c>
      <c r="F2" s="90"/>
      <c r="G2" s="89"/>
      <c r="H2" s="89"/>
      <c r="I2" s="90"/>
    </row>
    <row r="3" spans="1:23">
      <c r="E3" s="91"/>
      <c r="F3" s="89"/>
      <c r="G3" s="89"/>
      <c r="H3" s="89"/>
      <c r="I3" s="90"/>
    </row>
    <row r="4" spans="1:23">
      <c r="A4" s="228" t="str">
        <f>"Composition globale du "&amp;C1</f>
        <v>Composition globale du TP02</v>
      </c>
      <c r="B4" s="89"/>
      <c r="C4" s="89"/>
      <c r="D4" s="89"/>
      <c r="E4" s="89"/>
      <c r="F4" s="90"/>
      <c r="G4" s="90"/>
      <c r="H4" t="s">
        <v>47</v>
      </c>
      <c r="I4" t="s">
        <v>115</v>
      </c>
    </row>
    <row r="5" spans="1:23">
      <c r="A5" s="228" t="s">
        <v>164</v>
      </c>
      <c r="B5" s="90" t="s">
        <v>115</v>
      </c>
      <c r="C5" cm="1">
        <f t="array" ref="C5">SUM(IF((INDEX(compo_index,1,)=A5)*(INDEX(compo_index,,1)=C1),INDEX(compo_index,,),0))</f>
        <v>0.21</v>
      </c>
      <c r="D5" s="90"/>
      <c r="E5" s="90"/>
      <c r="F5" s="90"/>
      <c r="G5" s="93"/>
      <c r="H5" t="s">
        <v>48</v>
      </c>
      <c r="I5" t="s">
        <v>116</v>
      </c>
    </row>
    <row r="6" spans="1:23">
      <c r="A6" s="228" t="s">
        <v>165</v>
      </c>
      <c r="B6" s="90" t="s">
        <v>116</v>
      </c>
      <c r="C6" cm="1">
        <f t="array" ref="C6">SUM(IF((INDEX(compo_index,1,)=A6)*(INDEX(compo_index,,1)=C1),INDEX(compo_index,,),0))</f>
        <v>0.5</v>
      </c>
      <c r="D6" s="90"/>
      <c r="E6" s="90"/>
      <c r="F6" s="90"/>
      <c r="G6" s="90"/>
      <c r="H6">
        <v>1565195</v>
      </c>
      <c r="I6" t="s">
        <v>117</v>
      </c>
    </row>
    <row r="7" spans="1:23">
      <c r="A7" s="228" t="s">
        <v>166</v>
      </c>
      <c r="B7" s="90" t="s">
        <v>173</v>
      </c>
      <c r="C7" cm="1">
        <f t="array" ref="C7">SUM(IF((INDEX(compo_index,1,)=A7)*(INDEX(compo_index,,1)=C1),INDEX(compo_index,,),0))</f>
        <v>0.02</v>
      </c>
      <c r="D7" s="90"/>
      <c r="E7" s="90"/>
      <c r="F7" s="90"/>
      <c r="G7" s="90"/>
      <c r="H7" s="33" t="s">
        <v>317</v>
      </c>
      <c r="I7" t="s">
        <v>316</v>
      </c>
    </row>
    <row r="8" spans="1:23">
      <c r="A8" s="228" t="s">
        <v>169</v>
      </c>
      <c r="B8" s="90" t="s">
        <v>174</v>
      </c>
      <c r="C8" cm="1">
        <f t="array" ref="C8">SUM(IF((INDEX(compo_index,1,)=A8)*(INDEX(compo_index,,1)=C1),INDEX(compo_index,,),0))</f>
        <v>0.24</v>
      </c>
      <c r="D8" s="90"/>
      <c r="E8" s="90"/>
      <c r="F8" s="90"/>
      <c r="G8" s="93"/>
      <c r="H8" t="s">
        <v>50</v>
      </c>
      <c r="I8" t="s">
        <v>118</v>
      </c>
    </row>
    <row r="9" spans="1:23">
      <c r="A9" s="228" t="s">
        <v>167</v>
      </c>
      <c r="B9" s="90" t="s">
        <v>119</v>
      </c>
      <c r="C9" cm="1">
        <f t="array" ref="C9">SUM(IF((INDEX(compo_index,1,)=A9)*(INDEX(compo_index,,1)=C1),INDEX(compo_index,,),0))</f>
        <v>0.01</v>
      </c>
      <c r="D9" s="90"/>
      <c r="E9" s="90"/>
      <c r="F9" s="90"/>
      <c r="G9" s="93"/>
      <c r="H9" t="s">
        <v>51</v>
      </c>
      <c r="I9" t="s">
        <v>119</v>
      </c>
    </row>
    <row r="10" spans="1:23">
      <c r="A10" s="228" t="s">
        <v>168</v>
      </c>
      <c r="B10" s="90" t="s">
        <v>162</v>
      </c>
      <c r="C10" cm="1">
        <f t="array" ref="C10">SUM(IF((INDEX(compo_index,1,)=A10)*(INDEX(compo_index,,1)=C1),INDEX(compo_index,,),0))</f>
        <v>0.01</v>
      </c>
      <c r="D10" s="90"/>
      <c r="E10" s="90"/>
      <c r="F10" s="90"/>
      <c r="G10" s="93"/>
      <c r="H10" t="s">
        <v>52</v>
      </c>
      <c r="I10" t="s">
        <v>120</v>
      </c>
    </row>
    <row r="11" spans="1:23">
      <c r="A11" s="228" t="s">
        <v>170</v>
      </c>
      <c r="B11" s="90" t="s">
        <v>175</v>
      </c>
      <c r="C11" cm="1">
        <f t="array" ref="C11">SUM(IF((INDEX(compo_index,1,)=A11)*(INDEX(compo_index,,1)=C1),INDEX(compo_index,,),0))</f>
        <v>0.01</v>
      </c>
      <c r="D11" s="90"/>
      <c r="E11" s="93"/>
      <c r="F11" s="93"/>
      <c r="G11" s="90"/>
      <c r="H11" s="90"/>
      <c r="I11" s="90"/>
    </row>
    <row r="12" spans="1:23">
      <c r="I12" s="90"/>
    </row>
    <row r="13" spans="1:23">
      <c r="A13" s="228"/>
      <c r="B13" s="89"/>
      <c r="I13" s="90"/>
    </row>
    <row r="14" spans="1:23">
      <c r="A14" s="228"/>
      <c r="B14" s="90" t="s">
        <v>19</v>
      </c>
      <c r="C14" s="90" t="str">
        <f>C1</f>
        <v>TP02</v>
      </c>
      <c r="D14" s="90" t="s">
        <v>115</v>
      </c>
      <c r="E14" s="90" t="s">
        <v>116</v>
      </c>
      <c r="F14" s="90" t="s">
        <v>316</v>
      </c>
      <c r="G14" s="90" t="str">
        <f>IF(OR(N15=E14,N15=D14),IF(OR(N16=E14, N16=D14),N17,N16),N15)</f>
        <v>Béton prêt à l'emploi</v>
      </c>
      <c r="H14" s="90" t="str">
        <f>IF(OR(N16=D14,N16=E14,N16=F14,N16=G14),IF(OR(N17=D14,N17=E14,N17=F14,N17=G14),IF(OR(N18=D14,N18=E14,N18=F14,N18=G14),IF(OR(N19=D14,N19=E14,N19=F14,N19=G14),N20,N19),N18),N17),N16)</f>
        <v>Barres crénelées ou nervurées pour béton armé</v>
      </c>
      <c r="I14" s="90"/>
      <c r="M14" s="90" t="str">
        <f>C1</f>
        <v>TP02</v>
      </c>
      <c r="N14" s="90"/>
      <c r="O14" s="90"/>
      <c r="Q14" s="234" t="s">
        <v>181</v>
      </c>
      <c r="R14" s="234"/>
      <c r="S14" s="234"/>
      <c r="U14" s="233" t="s">
        <v>182</v>
      </c>
      <c r="V14" s="233"/>
      <c r="W14" s="233"/>
    </row>
    <row r="15" spans="1:23">
      <c r="A15" s="228"/>
      <c r="D15" s="90" t="str">
        <f>HLOOKUP(D14,'COMPOSITION INDEX'!$A$2:$AR$3,2,FALSE)</f>
        <v>001711009</v>
      </c>
      <c r="E15" s="90">
        <f>HLOOKUP(E14,'COMPOSITION INDEX'!$A$2:$AR$3,2,FALSE)</f>
        <v>8308500</v>
      </c>
      <c r="F15" s="90" t="str">
        <f>HLOOKUP(F14,'COMPOSITION INDEX'!$A$2:$AR$3,2,FALSE)</f>
        <v>010777519</v>
      </c>
      <c r="G15" s="90" t="str">
        <f>HLOOKUP(G14,'COMPOSITION INDEX'!$A$2:$AR$3,2,FALSE)</f>
        <v>010534646</v>
      </c>
      <c r="H15" s="90" t="str">
        <f>HLOOKUP(H14,'COMPOSITION INDEX'!$A$2:$AR$3,2,FALSE)</f>
        <v>010546545</v>
      </c>
      <c r="I15" s="90"/>
      <c r="L15" t="str" cm="1">
        <f t="array" ref="L15:L55">TRANSPOSE(INDEX('COMPOSITION INDEX'!D1:AR27,2,))</f>
        <v>Matériel</v>
      </c>
      <c r="M15" s="92" cm="1">
        <f t="array" ref="M15:M55">TRANSPOSE(INDEX('COMPOSITION INDEX'!D1:AR27,MATCH(index_choisi,'COMPOSITION INDEX'!A1:A27,0),))</f>
        <v>0.21</v>
      </c>
      <c r="N15" s="90" t="str" cm="1">
        <f t="array" ref="N15:O55">_xlfn._xlws.SORT(L15:M55,2,-1,FALSE)</f>
        <v>Travail</v>
      </c>
      <c r="O15" s="90">
        <v>0.5</v>
      </c>
      <c r="P15" s="90"/>
      <c r="Q15" t="str" cm="1">
        <f t="array" ref="Q15:S55">'DATE A DATE '!A42:C82</f>
        <v>001711009</v>
      </c>
      <c r="R15" t="str">
        <v>Matériel</v>
      </c>
      <c r="S15" s="98">
        <v>0.2276657060518732</v>
      </c>
      <c r="T15" s="90"/>
      <c r="U15" s="90" t="str" cm="1">
        <f t="array" ref="U15:W38">'DATE A DATE '!A7:C30</f>
        <v>TP01</v>
      </c>
      <c r="V15" t="str">
        <v>Index général tous travaux</v>
      </c>
      <c r="W15" s="4">
        <v>0.30848089468779127</v>
      </c>
    </row>
    <row r="16" spans="1:23">
      <c r="A16" s="95">
        <f>DATE1</f>
        <v>43101</v>
      </c>
      <c r="B16" s="94" cm="1">
        <f t="array" ref="B16">IF(A16&lt;=DATE2,SUM(IF((INDEX(INDEX,,1)=A16)*(INDEX(INDEX,3,)="TP01"),INDEX(INDEX,,),0)),"")</f>
        <v>107.3</v>
      </c>
      <c r="C16" s="94" cm="1">
        <f t="array" ref="C16">IF(A16&lt;=DATE2,SUM(IF((INDEX(INDEX,,1)=A16)*(INDEX(INDEX,3,)=index_choisi),INDEX(INDEX,,),0)),"")</f>
        <v>111.2</v>
      </c>
      <c r="D16" s="94" cm="1">
        <f t="array" ref="D16">IF(A16&lt;=DATE2,SUM(IF((INDEX(INDICES,,1)=A16)*(INDEX(INDICES,5,)="Matériel"),INDEX(INDICES,,),0)),"")</f>
        <v>104.1</v>
      </c>
      <c r="E16" s="94" cm="1">
        <f t="array" ref="E16">IF(A16&lt;=DATE2,SUM(IF((INDEX(INDICES,,1)=A16)*(INDEX(INDICES,5,)="Travail"),INDEX(INDICES,,),0)),"")</f>
        <v>117.8</v>
      </c>
      <c r="F16" s="94" cm="1">
        <f t="array" ref="F16">IF(A16&lt;=DATE2,SUM(IF((INDEX(INDICES,,1)=A16)*(INDEX(INDICES,5,)="GNR pour les Travaux Publics"),INDEX(INDICES,,),0)),"")</f>
        <v>102.68819713409906</v>
      </c>
      <c r="G16" s="94" cm="1">
        <f t="array" ref="G16">IF(A16&lt;=DATE2,SUM(IF((INDEX(INDICES,,1)=A16)*(INDEX(INDICES,5,)=indice_compo_max),INDEX(INDICES,,),0)),"")</f>
        <v>93.626621545403253</v>
      </c>
      <c r="H16" s="94" cm="1">
        <f t="array" ref="H16">IF(A16&lt;=DATE2,SUM(IF((INDEX(INDICES,,1)=A16)*(INDEX(INDICES,5,)=indice_compo_max2),INDEX(INDICES,,),0)),"")</f>
        <v>75.234002472478949</v>
      </c>
      <c r="I16" s="90"/>
      <c r="L16" t="str">
        <v>Travail</v>
      </c>
      <c r="M16" s="91">
        <v>0.5</v>
      </c>
      <c r="N16" s="90" t="str">
        <v>Matériel</v>
      </c>
      <c r="O16" s="90">
        <v>0.21</v>
      </c>
      <c r="P16" s="90"/>
      <c r="Q16">
        <v>8308500</v>
      </c>
      <c r="R16" t="str">
        <v>Travail</v>
      </c>
      <c r="S16" s="98">
        <v>0.2139219015280136</v>
      </c>
      <c r="T16" s="90"/>
      <c r="U16" s="90" t="str">
        <v>TP02</v>
      </c>
      <c r="V16" t="str">
        <v>Travaux de génie civil et d’ouvrages d’art neufs ou rénovation</v>
      </c>
      <c r="W16" s="4">
        <v>0.26798561151079126</v>
      </c>
    </row>
    <row r="17" spans="1:23">
      <c r="A17" s="95">
        <f t="shared" ref="A17:A48" si="0">IF(A16&lt;DATE2,EDATE(A16,1),"")</f>
        <v>43132</v>
      </c>
      <c r="B17" s="94" cm="1">
        <f t="array" ref="B17">IF(A17&lt;=DATE2,SUM(IF((INDEX(INDEX,,1)=A17)*(INDEX(INDEX,3,)="TP01"),INDEX(INDEX,,),0)),"")</f>
        <v>107.4</v>
      </c>
      <c r="C17" s="94" cm="1">
        <f t="array" ref="C17">IF(A17&lt;=DATE2,SUM(IF((INDEX(INDEX,,1)=A17)*(INDEX(INDEX,3,)=index_choisi),INDEX(INDEX,,),0)),"")</f>
        <v>111.5</v>
      </c>
      <c r="D17" s="94" cm="1">
        <f t="array" ref="D17">IF(A17&lt;=DATE2,SUM(IF((INDEX(INDICES,,1)=A17)*(INDEX(INDICES,5,)="Matériel"),INDEX(INDICES,,),0)),"")</f>
        <v>103.8</v>
      </c>
      <c r="E17" s="94" cm="1">
        <f t="array" ref="E17">IF(A17&lt;=DATE2,SUM(IF((INDEX(INDICES,,1)=A17)*(INDEX(INDICES,5,)="Travail"),INDEX(INDICES,,),0)),"")</f>
        <v>117.8</v>
      </c>
      <c r="F17" s="94" cm="1">
        <f t="array" ref="F17">IF(A17&lt;=DATE2,SUM(IF((INDEX(INDICES,,1)=A17)*(INDEX(INDICES,5,)="GNR pour les Travaux Publics"),INDEX(INDICES,,),0)),"")</f>
        <v>105.33935540778492</v>
      </c>
      <c r="G17" s="94" cm="1">
        <f t="array" ref="G17">IF(A17&lt;=DATE2,SUM(IF((INDEX(INDICES,,1)=A17)*(INDEX(INDICES,5,)=indice_compo_max),INDEX(INDICES,,),0)),"")</f>
        <v>93.438616281255875</v>
      </c>
      <c r="H17" s="94" cm="1">
        <f t="array" ref="H17">IF(A17&lt;=DATE2,SUM(IF((INDEX(INDICES,,1)=A17)*(INDEX(INDICES,5,)=indice_compo_max2),INDEX(INDICES,,),0)),"")</f>
        <v>75.646082298228052</v>
      </c>
      <c r="I17" s="90"/>
      <c r="L17" t="str">
        <v>GNR pour les Travaux Publics</v>
      </c>
      <c r="M17" s="91">
        <v>0.01</v>
      </c>
      <c r="N17" s="90" t="str">
        <v>Béton prêt à l'emploi</v>
      </c>
      <c r="O17" s="90">
        <v>0.12</v>
      </c>
      <c r="P17" s="90"/>
      <c r="Q17" t="str">
        <v>001565195</v>
      </c>
      <c r="R17" t="str">
        <v>Travail activités spécialisées</v>
      </c>
      <c r="S17" s="98">
        <v>0.20069504778453506</v>
      </c>
      <c r="T17" s="90"/>
      <c r="U17" s="90" t="str">
        <v>TP03a</v>
      </c>
      <c r="V17" t="str">
        <v>Grands terrassements</v>
      </c>
      <c r="W17" s="4">
        <v>0.32869080779944282</v>
      </c>
    </row>
    <row r="18" spans="1:23">
      <c r="A18" s="95">
        <f t="shared" si="0"/>
        <v>43160</v>
      </c>
      <c r="B18" s="94" cm="1">
        <f t="array" ref="B18">IF(A18&lt;=DATE2,SUM(IF((INDEX(INDEX,,1)=A18)*(INDEX(INDEX,3,)="TP01"),INDEX(INDEX,,),0)),"")</f>
        <v>107.7</v>
      </c>
      <c r="C18" s="94" cm="1">
        <f t="array" ref="C18">IF(A18&lt;=DATE2,SUM(IF((INDEX(INDEX,,1)=A18)*(INDEX(INDEX,3,)=index_choisi),INDEX(INDEX,,),0)),"")</f>
        <v>112</v>
      </c>
      <c r="D18" s="94" cm="1">
        <f t="array" ref="D18">IF(A18&lt;=DATE2,SUM(IF((INDEX(INDICES,,1)=A18)*(INDEX(INDICES,5,)="Matériel"),INDEX(INDICES,,),0)),"")</f>
        <v>104.1</v>
      </c>
      <c r="E18" s="94" cm="1">
        <f t="array" ref="E18">IF(A18&lt;=DATE2,SUM(IF((INDEX(INDICES,,1)=A18)*(INDEX(INDICES,5,)="Travail"),INDEX(INDICES,,),0)),"")</f>
        <v>117.7</v>
      </c>
      <c r="F18" s="94" cm="1">
        <f t="array" ref="F18">IF(A18&lt;=DATE2,SUM(IF((INDEX(INDICES,,1)=A18)*(INDEX(INDICES,5,)="GNR pour les Travaux Publics"),INDEX(INDICES,,),0)),"")</f>
        <v>104.26263286528626</v>
      </c>
      <c r="G18" s="94" cm="1">
        <f t="array" ref="G18">IF(A18&lt;=DATE2,SUM(IF((INDEX(INDICES,,1)=A18)*(INDEX(INDICES,5,)=indice_compo_max),INDEX(INDICES,,),0)),"")</f>
        <v>94.190637337845459</v>
      </c>
      <c r="H18" s="94" cm="1">
        <f t="array" ref="H18">IF(A18&lt;=DATE2,SUM(IF((INDEX(INDICES,,1)=A18)*(INDEX(INDICES,5,)=indice_compo_max2),INDEX(INDICES,,),0)),"")</f>
        <v>76.705716135868613</v>
      </c>
      <c r="I18" s="90"/>
      <c r="L18" t="str">
        <v>Gazole</v>
      </c>
      <c r="M18" s="91">
        <v>0</v>
      </c>
      <c r="N18" s="90" t="str">
        <v>Barres crénelées ou nervurées pour béton armé</v>
      </c>
      <c r="O18" s="90">
        <v>0.1</v>
      </c>
      <c r="P18" s="90"/>
      <c r="Q18">
        <v>10777519</v>
      </c>
      <c r="R18" t="str">
        <v>GNR pour les Travaux Publics</v>
      </c>
      <c r="S18" s="98">
        <v>1.0722926873680283</v>
      </c>
      <c r="T18" s="90"/>
      <c r="U18" s="90" t="str">
        <v>TP03b</v>
      </c>
      <c r="V18" t="str">
        <v>Travaux à l’explosif</v>
      </c>
      <c r="W18" s="4">
        <v>0.17817164179104461</v>
      </c>
    </row>
    <row r="19" spans="1:23">
      <c r="A19" s="95">
        <f t="shared" si="0"/>
        <v>43191</v>
      </c>
      <c r="B19" s="94" cm="1">
        <f t="array" ref="B19">IF(A19&lt;=DATE2,SUM(IF((INDEX(INDEX,,1)=A19)*(INDEX(INDEX,3,)="TP01"),INDEX(INDEX,,),0)),"")</f>
        <v>108.1</v>
      </c>
      <c r="C19" s="94" cm="1">
        <f t="array" ref="C19">IF(A19&lt;=DATE2,SUM(IF((INDEX(INDEX,,1)=A19)*(INDEX(INDEX,3,)=index_choisi),INDEX(INDEX,,),0)),"")</f>
        <v>112.2</v>
      </c>
      <c r="D19" s="94" cm="1">
        <f t="array" ref="D19">IF(A19&lt;=DATE2,SUM(IF((INDEX(INDICES,,1)=A19)*(INDEX(INDICES,5,)="Matériel"),INDEX(INDICES,,),0)),"")</f>
        <v>104.3</v>
      </c>
      <c r="E19" s="94" cm="1">
        <f t="array" ref="E19">IF(A19&lt;=DATE2,SUM(IF((INDEX(INDICES,,1)=A19)*(INDEX(INDICES,5,)="Travail"),INDEX(INDICES,,),0)),"")</f>
        <v>118</v>
      </c>
      <c r="F19" s="94" cm="1">
        <f t="array" ref="F19">IF(A19&lt;=DATE2,SUM(IF((INDEX(INDICES,,1)=A19)*(INDEX(INDICES,5,)="GNR pour les Travaux Publics"),INDEX(INDICES,,),0)),"")</f>
        <v>99.677793960786715</v>
      </c>
      <c r="G19" s="94" cm="1">
        <f t="array" ref="G19">IF(A19&lt;=DATE2,SUM(IF((INDEX(INDICES,,1)=A19)*(INDEX(INDICES,5,)=indice_compo_max),INDEX(INDICES,,),0)),"")</f>
        <v>94.942658394435043</v>
      </c>
      <c r="H19" s="94" cm="1">
        <f t="array" ref="H19">IF(A19&lt;=DATE2,SUM(IF((INDEX(INDICES,,1)=A19)*(INDEX(INDICES,5,)=indice_compo_max2),INDEX(INDICES,,),0)),"")</f>
        <v>77.17666450815328</v>
      </c>
      <c r="I19" s="90"/>
      <c r="L19" t="str">
        <v>Frais divers</v>
      </c>
      <c r="M19" s="91">
        <v>0.01</v>
      </c>
      <c r="N19" s="90" t="str">
        <v>GNR pour les Travaux Publics</v>
      </c>
      <c r="O19" s="90">
        <v>0.01</v>
      </c>
      <c r="P19" s="90"/>
      <c r="Q19" t="str">
        <v>001764283</v>
      </c>
      <c r="R19" t="str">
        <v>Gazole</v>
      </c>
      <c r="S19" s="98">
        <v>0.51815561959654155</v>
      </c>
      <c r="T19" s="90"/>
      <c r="U19" s="90" t="str">
        <v>TP04</v>
      </c>
      <c r="V19" t="str">
        <v xml:space="preserve">Fondations et travaux géotechniques </v>
      </c>
      <c r="W19" s="4">
        <v>0.27397260273972601</v>
      </c>
    </row>
    <row r="20" spans="1:23">
      <c r="A20" s="95">
        <f t="shared" si="0"/>
        <v>43221</v>
      </c>
      <c r="B20" s="94" cm="1">
        <f t="array" ref="B20">IF(A20&lt;=DATE2,SUM(IF((INDEX(INDEX,,1)=A20)*(INDEX(INDEX,3,)="TP01"),INDEX(INDEX,,),0)),"")</f>
        <v>108.8</v>
      </c>
      <c r="C20" s="94" cm="1">
        <f t="array" ref="C20">IF(A20&lt;=DATE2,SUM(IF((INDEX(INDEX,,1)=A20)*(INDEX(INDEX,3,)=index_choisi),INDEX(INDEX,,),0)),"")</f>
        <v>112.4</v>
      </c>
      <c r="D20" s="94" cm="1">
        <f t="array" ref="D20">IF(A20&lt;=DATE2,SUM(IF((INDEX(INDICES,,1)=A20)*(INDEX(INDICES,5,)="Matériel"),INDEX(INDICES,,),0)),"")</f>
        <v>104.5</v>
      </c>
      <c r="E20" s="94" cm="1">
        <f t="array" ref="E20">IF(A20&lt;=DATE2,SUM(IF((INDEX(INDICES,,1)=A20)*(INDEX(INDICES,5,)="Travail"),INDEX(INDICES,,),0)),"")</f>
        <v>118.2</v>
      </c>
      <c r="F20" s="94" cm="1">
        <f t="array" ref="F20">IF(A20&lt;=DATE2,SUM(IF((INDEX(INDICES,,1)=A20)*(INDEX(INDICES,5,)="GNR pour les Travaux Publics"),INDEX(INDICES,,),0)),"")</f>
        <v>96.60957457288562</v>
      </c>
      <c r="G20" s="94" cm="1">
        <f t="array" ref="G20">IF(A20&lt;=DATE2,SUM(IF((INDEX(INDICES,,1)=A20)*(INDEX(INDICES,5,)=indice_compo_max),INDEX(INDICES,,),0)),"")</f>
        <v>95.694679451024612</v>
      </c>
      <c r="H20" s="94" cm="1">
        <f t="array" ref="H20">IF(A20&lt;=DATE2,SUM(IF((INDEX(INDICES,,1)=A20)*(INDEX(INDICES,5,)=indice_compo_max2),INDEX(INDICES,,),0)),"")</f>
        <v>76.646847589333007</v>
      </c>
      <c r="I20" s="90"/>
      <c r="L20" t="str">
        <v>Transports routiers</v>
      </c>
      <c r="M20" s="91">
        <v>0.01</v>
      </c>
      <c r="N20" s="90" t="str">
        <v>Frais divers</v>
      </c>
      <c r="O20" s="90">
        <v>0.01</v>
      </c>
      <c r="P20" s="90"/>
      <c r="Q20" t="str">
        <v>001711011</v>
      </c>
      <c r="R20" t="str">
        <v>Frais divers</v>
      </c>
      <c r="S20" s="98">
        <v>0.1891625615763548</v>
      </c>
      <c r="T20" s="90"/>
      <c r="U20" s="90" t="str">
        <v>TP05a</v>
      </c>
      <c r="V20" t="str">
        <v xml:space="preserve">Travaux en souterrains traditionnels </v>
      </c>
      <c r="W20" s="4">
        <v>0.2849264705882355</v>
      </c>
    </row>
    <row r="21" spans="1:23">
      <c r="A21" s="95">
        <f t="shared" si="0"/>
        <v>43252</v>
      </c>
      <c r="B21" s="94" cm="1">
        <f t="array" ref="B21">IF(A21&lt;=DATE2,SUM(IF((INDEX(INDEX,,1)=A21)*(INDEX(INDEX,3,)="TP01"),INDEX(INDEX,,),0)),"")</f>
        <v>109.6</v>
      </c>
      <c r="C21" s="94" cm="1">
        <f t="array" ref="C21">IF(A21&lt;=DATE2,SUM(IF((INDEX(INDEX,,1)=A21)*(INDEX(INDEX,3,)=index_choisi),INDEX(INDEX,,),0)),"")</f>
        <v>112.2</v>
      </c>
      <c r="D21" s="94" cm="1">
        <f t="array" ref="D21">IF(A21&lt;=DATE2,SUM(IF((INDEX(INDICES,,1)=A21)*(INDEX(INDICES,5,)="Matériel"),INDEX(INDICES,,),0)),"")</f>
        <v>104.6</v>
      </c>
      <c r="E21" s="94" cm="1">
        <f t="array" ref="E21">IF(A21&lt;=DATE2,SUM(IF((INDEX(INDICES,,1)=A21)*(INDEX(INDICES,5,)="Travail"),INDEX(INDICES,,),0)),"")</f>
        <v>118.4</v>
      </c>
      <c r="F21" s="94" cm="1">
        <f t="array" ref="F21">IF(A21&lt;=DATE2,SUM(IF((INDEX(INDICES,,1)=A21)*(INDEX(INDICES,5,)="GNR pour les Travaux Publics"),INDEX(INDICES,,),0)),"")</f>
        <v>97.6111092375168</v>
      </c>
      <c r="G21" s="94" cm="1">
        <f t="array" ref="G21">IF(A21&lt;=DATE2,SUM(IF((INDEX(INDICES,,1)=A21)*(INDEX(INDICES,5,)=indice_compo_max),INDEX(INDICES,,),0)),"")</f>
        <v>95.60067681895093</v>
      </c>
      <c r="H21" s="94" cm="1">
        <f t="array" ref="H21">IF(A21&lt;=DATE2,SUM(IF((INDEX(INDICES,,1)=A21)*(INDEX(INDICES,5,)=indice_compo_max2),INDEX(INDICES,,),0)),"")</f>
        <v>75.351739565550119</v>
      </c>
      <c r="I21" s="90"/>
      <c r="L21" t="str">
        <v>Travail activités spécialisées</v>
      </c>
      <c r="M21" s="91">
        <v>0</v>
      </c>
      <c r="N21" s="90" t="str">
        <v>Transports routiers</v>
      </c>
      <c r="O21" s="90">
        <v>0.01</v>
      </c>
      <c r="P21" s="90"/>
      <c r="Q21" t="str">
        <v>001711943</v>
      </c>
      <c r="R21" t="str">
        <v>Transports routiers</v>
      </c>
      <c r="S21" s="98">
        <v>0.2234848484848484</v>
      </c>
      <c r="T21" s="90"/>
      <c r="U21" s="90" t="str">
        <v>TP05b</v>
      </c>
      <c r="V21" t="str">
        <v xml:space="preserve">Travaux en souterrains avec tunnelier </v>
      </c>
      <c r="W21" s="4">
        <v>0.28821362799263373</v>
      </c>
    </row>
    <row r="22" spans="1:23">
      <c r="A22" s="95">
        <f t="shared" si="0"/>
        <v>43282</v>
      </c>
      <c r="B22" s="94" cm="1">
        <f t="array" ref="B22">IF(A22&lt;=DATE2,SUM(IF((INDEX(INDEX,,1)=A22)*(INDEX(INDEX,3,)="TP01"),INDEX(INDEX,,),0)),"")</f>
        <v>109.8</v>
      </c>
      <c r="C22" s="94" cm="1">
        <f t="array" ref="C22">IF(A22&lt;=DATE2,SUM(IF((INDEX(INDEX,,1)=A22)*(INDEX(INDEX,3,)=index_choisi),INDEX(INDEX,,),0)),"")</f>
        <v>112.1</v>
      </c>
      <c r="D22" s="94" cm="1">
        <f t="array" ref="D22">IF(A22&lt;=DATE2,SUM(IF((INDEX(INDICES,,1)=A22)*(INDEX(INDICES,5,)="Matériel"),INDEX(INDICES,,),0)),"")</f>
        <v>104.6</v>
      </c>
      <c r="E22" s="94" cm="1">
        <f t="array" ref="E22">IF(A22&lt;=DATE2,SUM(IF((INDEX(INDICES,,1)=A22)*(INDEX(INDICES,5,)="Travail"),INDEX(INDICES,,),0)),"")</f>
        <v>118.7</v>
      </c>
      <c r="F22" s="94" cm="1">
        <f t="array" ref="F22">IF(A22&lt;=DATE2,SUM(IF((INDEX(INDICES,,1)=A22)*(INDEX(INDICES,5,)="GNR pour les Travaux Publics"),INDEX(INDICES,,),0)),"")</f>
        <v>97.6111092375168</v>
      </c>
      <c r="G22" s="94" cm="1">
        <f t="array" ref="G22">IF(A22&lt;=DATE2,SUM(IF((INDEX(INDICES,,1)=A22)*(INDEX(INDICES,5,)=indice_compo_max),INDEX(INDICES,,),0)),"")</f>
        <v>95.788682083098323</v>
      </c>
      <c r="H22" s="94" cm="1">
        <f t="array" ref="H22">IF(A22&lt;=DATE2,SUM(IF((INDEX(INDICES,,1)=A22)*(INDEX(INDICES,5,)=indice_compo_max2),INDEX(INDICES,,),0)),"")</f>
        <v>74.23323718137398</v>
      </c>
      <c r="I22" s="90"/>
      <c r="L22" t="str">
        <v>Électricité vendue aux entreprises consommatrices finales</v>
      </c>
      <c r="M22" s="91">
        <v>0.01</v>
      </c>
      <c r="N22" s="90" t="str">
        <v>Électricité vendue aux entreprises consommatrices finales</v>
      </c>
      <c r="O22" s="90">
        <v>0.01</v>
      </c>
      <c r="P22" s="90"/>
      <c r="Q22">
        <v>10764291</v>
      </c>
      <c r="R22" t="str">
        <v>Électricité vendue aux entreprises consommatrices finales</v>
      </c>
      <c r="S22" s="98">
        <v>0.24572691244239642</v>
      </c>
      <c r="T22" s="90"/>
      <c r="U22" s="90" t="str">
        <v>TP06a</v>
      </c>
      <c r="V22" t="str">
        <v>Grands dragages maritimes </v>
      </c>
      <c r="W22" s="4">
        <v>0.41932543299908831</v>
      </c>
    </row>
    <row r="23" spans="1:23">
      <c r="A23" s="95">
        <f t="shared" si="0"/>
        <v>43313</v>
      </c>
      <c r="B23" s="94" cm="1">
        <f t="array" ref="B23">IF(A23&lt;=DATE2,SUM(IF((INDEX(INDEX,,1)=A23)*(INDEX(INDEX,3,)="TP01"),INDEX(INDEX,,),0)),"")</f>
        <v>110.2</v>
      </c>
      <c r="C23" s="94" cm="1">
        <f t="array" ref="C23">IF(A23&lt;=DATE2,SUM(IF((INDEX(INDEX,,1)=A23)*(INDEX(INDEX,3,)=index_choisi),INDEX(INDEX,,),0)),"")</f>
        <v>112.6</v>
      </c>
      <c r="D23" s="94" cm="1">
        <f t="array" ref="D23">IF(A23&lt;=DATE2,SUM(IF((INDEX(INDICES,,1)=A23)*(INDEX(INDICES,5,)="Matériel"),INDEX(INDICES,,),0)),"")</f>
        <v>104.6</v>
      </c>
      <c r="E23" s="94" cm="1">
        <f t="array" ref="E23">IF(A23&lt;=DATE2,SUM(IF((INDEX(INDICES,,1)=A23)*(INDEX(INDICES,5,)="Travail"),INDEX(INDICES,,),0)),"")</f>
        <v>119.1</v>
      </c>
      <c r="F23" s="94" cm="1">
        <f t="array" ref="F23">IF(A23&lt;=DATE2,SUM(IF((INDEX(INDICES,,1)=A23)*(INDEX(INDICES,5,)="GNR pour les Travaux Publics"),INDEX(INDICES,,),0)),"")</f>
        <v>96.838869449245308</v>
      </c>
      <c r="G23" s="94" cm="1">
        <f t="array" ref="G23">IF(A23&lt;=DATE2,SUM(IF((INDEX(INDICES,,1)=A23)*(INDEX(INDICES,5,)=indice_compo_max),INDEX(INDICES,,),0)),"")</f>
        <v>96.540703139687906</v>
      </c>
      <c r="H23" s="94" cm="1">
        <f t="array" ref="H23">IF(A23&lt;=DATE2,SUM(IF((INDEX(INDICES,,1)=A23)*(INDEX(INDICES,5,)=indice_compo_max2),INDEX(INDICES,,),0)),"")</f>
        <v>75.351739565550119</v>
      </c>
      <c r="I23" s="90"/>
      <c r="L23" t="str">
        <v>Gaz naturel</v>
      </c>
      <c r="M23" s="91">
        <v>0</v>
      </c>
      <c r="N23" s="90" t="str">
        <v>Tubes, tuyaux en matière plastique</v>
      </c>
      <c r="O23" s="90">
        <v>0.01</v>
      </c>
      <c r="P23" s="90"/>
      <c r="Q23">
        <v>10764297</v>
      </c>
      <c r="R23" t="str">
        <v>Gaz naturel</v>
      </c>
      <c r="S23" s="98">
        <v>1.251010685483871</v>
      </c>
      <c r="T23" s="90"/>
      <c r="U23" s="90" t="str">
        <v>TP06b</v>
      </c>
      <c r="V23" t="str">
        <v>Dragages fluviaux et petits dragages maritimes</v>
      </c>
      <c r="W23" s="4">
        <v>0.34676663542642916</v>
      </c>
    </row>
    <row r="24" spans="1:23">
      <c r="A24" s="95">
        <f t="shared" si="0"/>
        <v>43344</v>
      </c>
      <c r="B24" s="94" cm="1">
        <f t="array" ref="B24">IF(A24&lt;=DATE2,SUM(IF((INDEX(INDEX,,1)=A24)*(INDEX(INDEX,3,)="TP01"),INDEX(INDEX,,),0)),"")</f>
        <v>110.4</v>
      </c>
      <c r="C24" s="94" cm="1">
        <f t="array" ref="C24">IF(A24&lt;=DATE2,SUM(IF((INDEX(INDEX,,1)=A24)*(INDEX(INDEX,3,)=index_choisi),INDEX(INDEX,,),0)),"")</f>
        <v>112.9</v>
      </c>
      <c r="D24" s="94" cm="1">
        <f t="array" ref="D24">IF(A24&lt;=DATE2,SUM(IF((INDEX(INDICES,,1)=A24)*(INDEX(INDICES,5,)="Matériel"),INDEX(INDICES,,),0)),"")</f>
        <v>104.6</v>
      </c>
      <c r="E24" s="94" cm="1">
        <f t="array" ref="E24">IF(A24&lt;=DATE2,SUM(IF((INDEX(INDICES,,1)=A24)*(INDEX(INDICES,5,)="Travail"),INDEX(INDICES,,),0)),"")</f>
        <v>119.5</v>
      </c>
      <c r="F24" s="94" cm="1">
        <f t="array" ref="F24">IF(A24&lt;=DATE2,SUM(IF((INDEX(INDICES,,1)=A24)*(INDEX(INDICES,5,)="GNR pour les Travaux Publics"),INDEX(INDICES,,),0)),"")</f>
        <v>95.108260282708713</v>
      </c>
      <c r="G24" s="94" cm="1">
        <f t="array" ref="G24">IF(A24&lt;=DATE2,SUM(IF((INDEX(INDICES,,1)=A24)*(INDEX(INDICES,5,)=indice_compo_max),INDEX(INDICES,,),0)),"")</f>
        <v>95.694679451024612</v>
      </c>
      <c r="H24" s="94" cm="1">
        <f t="array" ref="H24">IF(A24&lt;=DATE2,SUM(IF((INDEX(INDICES,,1)=A24)*(INDEX(INDICES,5,)=indice_compo_max2),INDEX(INDICES,,),0)),"")</f>
        <v>75.999293577441563</v>
      </c>
      <c r="I24" s="90"/>
      <c r="L24" t="str">
        <v>Gazole routier HTT</v>
      </c>
      <c r="M24" s="91">
        <v>0</v>
      </c>
      <c r="N24" s="90" t="str">
        <v>Ensemble des produits du sciage</v>
      </c>
      <c r="O24" s="90">
        <v>0.01</v>
      </c>
      <c r="P24" s="90"/>
      <c r="Q24" t="str">
        <v>Gazole routier HTT</v>
      </c>
      <c r="R24" t="str">
        <v>Gazole routier HTT</v>
      </c>
      <c r="S24" s="98">
        <v>0.87159937795929432</v>
      </c>
      <c r="T24" s="90"/>
      <c r="U24" s="90" t="str">
        <v>TP07b</v>
      </c>
      <c r="V24" t="str">
        <v>Travaux de génie civil, béton et acier pour ouvrages maritimes et fluviaux</v>
      </c>
      <c r="W24" s="4">
        <v>0.36657169990503324</v>
      </c>
    </row>
    <row r="25" spans="1:23">
      <c r="A25" s="95">
        <f t="shared" si="0"/>
        <v>43374</v>
      </c>
      <c r="B25" s="94" cm="1">
        <f t="array" ref="B25">IF(A25&lt;=DATE2,SUM(IF((INDEX(INDEX,,1)=A25)*(INDEX(INDEX,3,)="TP01"),INDEX(INDEX,,),0)),"")</f>
        <v>110.9</v>
      </c>
      <c r="C25" s="94" cm="1">
        <f t="array" ref="C25">IF(A25&lt;=DATE2,SUM(IF((INDEX(INDEX,,1)=A25)*(INDEX(INDEX,3,)=index_choisi),INDEX(INDEX,,),0)),"")</f>
        <v>113</v>
      </c>
      <c r="D25" s="94" cm="1">
        <f t="array" ref="D25">IF(A25&lt;=DATE2,SUM(IF((INDEX(INDICES,,1)=A25)*(INDEX(INDICES,5,)="Matériel"),INDEX(INDICES,,),0)),"")</f>
        <v>104.3</v>
      </c>
      <c r="E25" s="94" cm="1">
        <f t="array" ref="E25">IF(A25&lt;=DATE2,SUM(IF((INDEX(INDICES,,1)=A25)*(INDEX(INDICES,5,)="Travail"),INDEX(INDICES,,),0)),"")</f>
        <v>119.7</v>
      </c>
      <c r="F25" s="94" cm="1">
        <f t="array" ref="F25">IF(A25&lt;=DATE2,SUM(IF((INDEX(INDICES,,1)=A25)*(INDEX(INDICES,5,)="GNR pour les Travaux Publics"),INDEX(INDICES,,),0)),"")</f>
        <v>92.171935981811814</v>
      </c>
      <c r="G25" s="94" cm="1">
        <f t="array" ref="G25">IF(A25&lt;=DATE2,SUM(IF((INDEX(INDICES,,1)=A25)*(INDEX(INDICES,5,)=indice_compo_max),INDEX(INDICES,,),0)),"")</f>
        <v>96.070689979319411</v>
      </c>
      <c r="H25" s="94" cm="1">
        <f t="array" ref="H25">IF(A25&lt;=DATE2,SUM(IF((INDEX(INDICES,,1)=A25)*(INDEX(INDICES,5,)=indice_compo_max2),INDEX(INDICES,,),0)),"")</f>
        <v>75.234002472478949</v>
      </c>
      <c r="I25" s="90"/>
      <c r="L25" t="str">
        <v>Tubes, tuyaux en matière plastique</v>
      </c>
      <c r="M25" s="91">
        <v>0.01</v>
      </c>
      <c r="N25" s="90" t="str">
        <v>Traitement et élimination des déchets non dangereux</v>
      </c>
      <c r="O25" s="90">
        <v>0.01</v>
      </c>
      <c r="P25" s="90"/>
      <c r="Q25">
        <v>10763845</v>
      </c>
      <c r="R25" t="str">
        <v>Tubes, tuyaux en matière plastique</v>
      </c>
      <c r="S25" s="98">
        <v>0.3779994939271254</v>
      </c>
      <c r="T25" s="90"/>
      <c r="U25" s="90" t="str">
        <v>TP08</v>
      </c>
      <c r="V25" t="str">
        <v>Travaux d’aménagement et entretien de voirie en zonesrurale et urbaine</v>
      </c>
      <c r="W25" s="4">
        <v>0.33111322549952438</v>
      </c>
    </row>
    <row r="26" spans="1:23">
      <c r="A26" s="95">
        <f t="shared" si="0"/>
        <v>43405</v>
      </c>
      <c r="B26" s="94" cm="1">
        <f t="array" ref="B26">IF(A26&lt;=DATE2,SUM(IF((INDEX(INDEX,,1)=A26)*(INDEX(INDEX,3,)="TP01"),INDEX(INDEX,,),0)),"")</f>
        <v>111.1</v>
      </c>
      <c r="C26" s="94" cm="1">
        <f t="array" ref="C26">IF(A26&lt;=DATE2,SUM(IF((INDEX(INDEX,,1)=A26)*(INDEX(INDEX,3,)=index_choisi),INDEX(INDEX,,),0)),"")</f>
        <v>113.1</v>
      </c>
      <c r="D26" s="94" cm="1">
        <f t="array" ref="D26">IF(A26&lt;=DATE2,SUM(IF((INDEX(INDICES,,1)=A26)*(INDEX(INDICES,5,)="Matériel"),INDEX(INDICES,,),0)),"")</f>
        <v>104.3</v>
      </c>
      <c r="E26" s="94" cm="1">
        <f t="array" ref="E26">IF(A26&lt;=DATE2,SUM(IF((INDEX(INDICES,,1)=A26)*(INDEX(INDICES,5,)="Travail"),INDEX(INDICES,,),0)),"")</f>
        <v>120</v>
      </c>
      <c r="F26" s="94" cm="1">
        <f t="array" ref="F26">IF(A26&lt;=DATE2,SUM(IF((INDEX(INDICES,,1)=A26)*(INDEX(INDICES,5,)="GNR pour les Travaux Publics"),INDEX(INDICES,,),0)),"")</f>
        <v>97.300740050752083</v>
      </c>
      <c r="G26" s="94" cm="1">
        <f t="array" ref="G26">IF(A26&lt;=DATE2,SUM(IF((INDEX(INDICES,,1)=A26)*(INDEX(INDICES,5,)=indice_compo_max),INDEX(INDICES,,),0)),"")</f>
        <v>96.258695243466818</v>
      </c>
      <c r="H26" s="94" cm="1">
        <f t="array" ref="H26">IF(A26&lt;=DATE2,SUM(IF((INDEX(INDICES,,1)=A26)*(INDEX(INDICES,5,)=indice_compo_max2),INDEX(INDICES,,),0)),"")</f>
        <v>74.527579914051913</v>
      </c>
      <c r="I26" s="90"/>
      <c r="L26" t="str">
        <v>Ensemble des produits du sciage</v>
      </c>
      <c r="M26" s="91">
        <v>0.01</v>
      </c>
      <c r="N26" s="90" t="str">
        <v>Gazole</v>
      </c>
      <c r="O26" s="90">
        <v>0</v>
      </c>
      <c r="P26" s="90"/>
      <c r="Q26" t="str">
        <v> 010764116</v>
      </c>
      <c r="R26" t="str">
        <v>Ensemble des produits du sciage</v>
      </c>
      <c r="S26" s="98">
        <v>0.40097799511002452</v>
      </c>
      <c r="T26" s="90"/>
      <c r="U26" s="90" t="str">
        <v>TP09</v>
      </c>
      <c r="V26" t="str">
        <v>Fabrication et mise en œuvre d’enrobés </v>
      </c>
      <c r="W26" s="4">
        <v>0.40913604766633571</v>
      </c>
    </row>
    <row r="27" spans="1:23">
      <c r="A27" s="95">
        <f t="shared" si="0"/>
        <v>43435</v>
      </c>
      <c r="B27" s="94" cm="1">
        <f t="array" ref="B27">IF(A27&lt;=DATE2,SUM(IF((INDEX(INDEX,,1)=A27)*(INDEX(INDEX,3,)="TP01"),INDEX(INDEX,,),0)),"")</f>
        <v>110</v>
      </c>
      <c r="C27" s="94" cm="1">
        <f t="array" ref="C27">IF(A27&lt;=DATE2,SUM(IF((INDEX(INDEX,,1)=A27)*(INDEX(INDEX,3,)=index_choisi),INDEX(INDEX,,),0)),"")</f>
        <v>113.2</v>
      </c>
      <c r="D27" s="94" cm="1">
        <f t="array" ref="D27">IF(A27&lt;=DATE2,SUM(IF((INDEX(INDICES,,1)=A27)*(INDEX(INDICES,5,)="Matériel"),INDEX(INDICES,,),0)),"")</f>
        <v>104.1</v>
      </c>
      <c r="E27" s="94" cm="1">
        <f t="array" ref="E27">IF(A27&lt;=DATE2,SUM(IF((INDEX(INDICES,,1)=A27)*(INDEX(INDICES,5,)="Travail"),INDEX(INDICES,,),0)),"")</f>
        <v>120.2</v>
      </c>
      <c r="F27" s="94" cm="1">
        <f t="array" ref="F27">IF(A27&lt;=DATE2,SUM(IF((INDEX(INDICES,,1)=A27)*(INDEX(INDICES,5,)="GNR pour les Travaux Publics"),INDEX(INDICES,,),0)),"")</f>
        <v>103.64464943594083</v>
      </c>
      <c r="G27" s="94" cm="1">
        <f t="array" ref="G27">IF(A27&lt;=DATE2,SUM(IF((INDEX(INDICES,,1)=A27)*(INDEX(INDICES,5,)=indice_compo_max),INDEX(INDICES,,),0)),"")</f>
        <v>96.070689979319411</v>
      </c>
      <c r="H27" s="94" cm="1">
        <f t="array" ref="H27">IF(A27&lt;=DATE2,SUM(IF((INDEX(INDICES,,1)=A27)*(INDEX(INDICES,5,)=indice_compo_max2),INDEX(INDICES,,),0)),"")</f>
        <v>73.880025902160469</v>
      </c>
      <c r="I27" s="90"/>
      <c r="L27" t="str">
        <v>Béton prêt à l'emploi</v>
      </c>
      <c r="M27" s="91">
        <v>0.12</v>
      </c>
      <c r="N27" s="90" t="str">
        <v>Travail activités spécialisées</v>
      </c>
      <c r="O27" s="90">
        <v>0</v>
      </c>
      <c r="P27" s="90"/>
      <c r="Q27">
        <v>10764180</v>
      </c>
      <c r="R27" t="str">
        <v>Béton prêt à l'emploi</v>
      </c>
      <c r="S27" s="98">
        <v>0.45791867469879555</v>
      </c>
      <c r="T27" s="90"/>
      <c r="U27" s="90" t="str">
        <v>TP10b</v>
      </c>
      <c r="V27" t="str">
        <v>Canalisations sans fourniture de tuyaux</v>
      </c>
      <c r="W27" s="4">
        <v>0.25522252497729325</v>
      </c>
    </row>
    <row r="28" spans="1:23">
      <c r="A28" s="95">
        <f t="shared" si="0"/>
        <v>43466</v>
      </c>
      <c r="B28" s="94" cm="1">
        <f t="array" ref="B28">IF(A28&lt;=DATE2,SUM(IF((INDEX(INDEX,,1)=A28)*(INDEX(INDEX,3,)="TP01"),INDEX(INDEX,,),0)),"")</f>
        <v>109.7</v>
      </c>
      <c r="C28" s="94" cm="1">
        <f t="array" ref="C28">IF(A28&lt;=DATE2,SUM(IF((INDEX(INDEX,,1)=A28)*(INDEX(INDEX,3,)=index_choisi),INDEX(INDEX,,),0)),"")</f>
        <v>113.5</v>
      </c>
      <c r="D28" s="94" cm="1">
        <f t="array" ref="D28">IF(A28&lt;=DATE2,SUM(IF((INDEX(INDICES,,1)=A28)*(INDEX(INDICES,5,)="Matériel"),INDEX(INDICES,,),0)),"")</f>
        <v>104.7</v>
      </c>
      <c r="E28" s="94" cm="1">
        <f t="array" ref="E28">IF(A28&lt;=DATE2,SUM(IF((INDEX(INDICES,,1)=A28)*(INDEX(INDICES,5,)="Travail"),INDEX(INDICES,,),0)),"")</f>
        <v>120.8</v>
      </c>
      <c r="F28" s="94" cm="1">
        <f t="array" ref="F28">IF(A28&lt;=DATE2,SUM(IF((INDEX(INDICES,,1)=A28)*(INDEX(INDICES,5,)="GNR pour les Travaux Publics"),INDEX(INDICES,,),0)),"")</f>
        <v>97.6</v>
      </c>
      <c r="G28" s="94" cm="1">
        <f t="array" ref="G28">IF(A28&lt;=DATE2,SUM(IF((INDEX(INDICES,,1)=A28)*(INDEX(INDICES,5,)=indice_compo_max),INDEX(INDICES,,),0)),"")</f>
        <v>97.574732092498579</v>
      </c>
      <c r="H28" s="94" cm="1">
        <f t="array" ref="H28">IF(A28&lt;=DATE2,SUM(IF((INDEX(INDICES,,1)=A28)*(INDEX(INDICES,5,)=indice_compo_max2),INDEX(INDICES,,),0)),"")</f>
        <v>73.350208983340195</v>
      </c>
      <c r="I28" s="90"/>
      <c r="L28" t="str">
        <v>Barres crénelées ou nervurées pour béton armé</v>
      </c>
      <c r="M28" s="91">
        <v>0.1</v>
      </c>
      <c r="N28" s="90" t="str">
        <v>Gaz naturel</v>
      </c>
      <c r="O28" s="90">
        <v>0</v>
      </c>
      <c r="P28" s="90"/>
      <c r="Q28">
        <v>10766236</v>
      </c>
      <c r="R28" t="str">
        <v>Barres crénelées ou nervurées pour béton armé</v>
      </c>
      <c r="S28" s="98">
        <v>0.26804366197183116</v>
      </c>
      <c r="T28" s="90"/>
      <c r="U28" s="90" t="str">
        <v>TP10c</v>
      </c>
      <c r="V28" t="str">
        <v>Réhabilitation de canalisations non visitables</v>
      </c>
      <c r="W28" s="4">
        <v>0.33272561531449396</v>
      </c>
    </row>
    <row r="29" spans="1:23">
      <c r="A29" s="95">
        <f t="shared" si="0"/>
        <v>43497</v>
      </c>
      <c r="B29" s="94" cm="1">
        <f t="array" ref="B29">IF(A29&lt;=DATE2,SUM(IF((INDEX(INDEX,,1)=A29)*(INDEX(INDEX,3,)="TP01"),INDEX(INDEX,,),0)),"")</f>
        <v>110.3</v>
      </c>
      <c r="C29" s="94" cm="1">
        <f t="array" ref="C29">IF(A29&lt;=DATE2,SUM(IF((INDEX(INDEX,,1)=A29)*(INDEX(INDEX,3,)=index_choisi),INDEX(INDEX,,),0)),"")</f>
        <v>113.6</v>
      </c>
      <c r="D29" s="94" cm="1">
        <f t="array" ref="D29">IF(A29&lt;=DATE2,SUM(IF((INDEX(INDICES,,1)=A29)*(INDEX(INDICES,5,)="Matériel"),INDEX(INDICES,,),0)),"")</f>
        <v>104.7</v>
      </c>
      <c r="E29" s="94" cm="1">
        <f t="array" ref="E29">IF(A29&lt;=DATE2,SUM(IF((INDEX(INDICES,,1)=A29)*(INDEX(INDICES,5,)="Travail"),INDEX(INDICES,,),0)),"")</f>
        <v>121.4</v>
      </c>
      <c r="F29" s="94" cm="1">
        <f t="array" ref="F29">IF(A29&lt;=DATE2,SUM(IF((INDEX(INDICES,,1)=A29)*(INDEX(INDICES,5,)="GNR pour les Travaux Publics"),INDEX(INDICES,,),0)),"")</f>
        <v>101.1</v>
      </c>
      <c r="G29" s="94" cm="1">
        <f t="array" ref="G29">IF(A29&lt;=DATE2,SUM(IF((INDEX(INDICES,,1)=A29)*(INDEX(INDICES,5,)=indice_compo_max),INDEX(INDICES,,),0)),"")</f>
        <v>97.950742620793378</v>
      </c>
      <c r="H29" s="94" cm="1">
        <f t="array" ref="H29">IF(A29&lt;=DATE2,SUM(IF((INDEX(INDICES,,1)=A29)*(INDEX(INDICES,5,)=indice_compo_max2),INDEX(INDICES,,),0)),"")</f>
        <v>72.879260611055514</v>
      </c>
      <c r="I29" s="90"/>
      <c r="L29" t="str">
        <v>Sables et granulats</v>
      </c>
      <c r="M29" s="91">
        <v>0</v>
      </c>
      <c r="N29" s="90" t="str">
        <v>Gazole routier HTT</v>
      </c>
      <c r="O29" s="90">
        <v>0</v>
      </c>
      <c r="P29" s="90"/>
      <c r="Q29">
        <v>10765500</v>
      </c>
      <c r="R29" t="str">
        <v>Sables et granulats</v>
      </c>
      <c r="S29" s="98">
        <v>0.26169696969696976</v>
      </c>
      <c r="T29" s="90"/>
      <c r="U29" s="90" t="str">
        <v>TP10d</v>
      </c>
      <c r="V29" t="str">
        <v>Réseaux de chauffage et de froid avec fourniture de tuyaux</v>
      </c>
      <c r="W29" s="4" t="e">
        <v>#N/A</v>
      </c>
    </row>
    <row r="30" spans="1:23">
      <c r="A30" s="95">
        <f t="shared" si="0"/>
        <v>43525</v>
      </c>
      <c r="B30" s="94" cm="1">
        <f t="array" ref="B30">IF(A30&lt;=DATE2,SUM(IF((INDEX(INDEX,,1)=A30)*(INDEX(INDEX,3,)="TP01"),INDEX(INDEX,,),0)),"")</f>
        <v>111.3</v>
      </c>
      <c r="C30" s="94" cm="1">
        <f t="array" ref="C30">IF(A30&lt;=DATE2,SUM(IF((INDEX(INDEX,,1)=A30)*(INDEX(INDEX,3,)=index_choisi),INDEX(INDEX,,),0)),"")</f>
        <v>114.1</v>
      </c>
      <c r="D30" s="94" cm="1">
        <f t="array" ref="D30">IF(A30&lt;=DATE2,SUM(IF((INDEX(INDICES,,1)=A30)*(INDEX(INDICES,5,)="Matériel"),INDEX(INDICES,,),0)),"")</f>
        <v>105.7</v>
      </c>
      <c r="E30" s="94" cm="1">
        <f t="array" ref="E30">IF(A30&lt;=DATE2,SUM(IF((INDEX(INDICES,,1)=A30)*(INDEX(INDICES,5,)="Travail"),INDEX(INDICES,,),0)),"")</f>
        <v>122</v>
      </c>
      <c r="F30" s="94" cm="1">
        <f t="array" ref="F30">IF(A30&lt;=DATE2,SUM(IF((INDEX(INDICES,,1)=A30)*(INDEX(INDICES,5,)="GNR pour les Travaux Publics"),INDEX(INDICES,,),0)),"")</f>
        <v>103.1</v>
      </c>
      <c r="G30" s="94" cm="1">
        <f t="array" ref="G30">IF(A30&lt;=DATE2,SUM(IF((INDEX(INDICES,,1)=A30)*(INDEX(INDICES,5,)=indice_compo_max),INDEX(INDICES,,),0)),"")</f>
        <v>98.044745252867074</v>
      </c>
      <c r="H30" s="94" cm="1">
        <f t="array" ref="H30">IF(A30&lt;=DATE2,SUM(IF((INDEX(INDICES,,1)=A30)*(INDEX(INDICES,5,)=indice_compo_max2),INDEX(INDICES,,),0)),"")</f>
        <v>72.938129157591092</v>
      </c>
      <c r="I30" s="90"/>
      <c r="L30" t="str">
        <v>Plaques, feuilles, tubes et profilés en matières plastiques</v>
      </c>
      <c r="M30" s="91">
        <v>0</v>
      </c>
      <c r="N30" s="90" t="str">
        <v>Sables et granulats</v>
      </c>
      <c r="O30" s="90">
        <v>0</v>
      </c>
      <c r="P30" s="90"/>
      <c r="Q30">
        <v>10764160</v>
      </c>
      <c r="R30" t="str">
        <v>Plaques, feuilles, tubes et profilés en matières plastiques</v>
      </c>
      <c r="S30" s="98">
        <v>0.35045494071146255</v>
      </c>
      <c r="T30" s="90"/>
      <c r="U30" s="90" t="str">
        <v>TP10e</v>
      </c>
      <c r="V30" t="str">
        <v>Canalisations, assainnissement et adduction d'eau avec fourniture de tuyaux en fonte majoritaire</v>
      </c>
      <c r="W30" s="4" t="e">
        <v>#N/A</v>
      </c>
    </row>
    <row r="31" spans="1:23">
      <c r="A31" s="95">
        <f t="shared" si="0"/>
        <v>43556</v>
      </c>
      <c r="B31" s="94" cm="1">
        <f t="array" ref="B31">IF(A31&lt;=DATE2,SUM(IF((INDEX(INDEX,,1)=A31)*(INDEX(INDEX,3,)="TP01"),INDEX(INDEX,,),0)),"")</f>
        <v>111.6</v>
      </c>
      <c r="C31" s="94" cm="1">
        <f t="array" ref="C31">IF(A31&lt;=DATE2,SUM(IF((INDEX(INDEX,,1)=A31)*(INDEX(INDEX,3,)=index_choisi),INDEX(INDEX,,),0)),"")</f>
        <v>114.1</v>
      </c>
      <c r="D31" s="94" cm="1">
        <f t="array" ref="D31">IF(A31&lt;=DATE2,SUM(IF((INDEX(INDICES,,1)=A31)*(INDEX(INDICES,5,)="Matériel"),INDEX(INDICES,,),0)),"")</f>
        <v>105.3</v>
      </c>
      <c r="E31" s="94" cm="1">
        <f t="array" ref="E31">IF(A31&lt;=DATE2,SUM(IF((INDEX(INDICES,,1)=A31)*(INDEX(INDICES,5,)="Travail"),INDEX(INDICES,,),0)),"")</f>
        <v>122.3</v>
      </c>
      <c r="F31" s="94" cm="1">
        <f t="array" ref="F31">IF(A31&lt;=DATE2,SUM(IF((INDEX(INDICES,,1)=A31)*(INDEX(INDICES,5,)="GNR pour les Travaux Publics"),INDEX(INDICES,,),0)),"")</f>
        <v>103.6</v>
      </c>
      <c r="G31" s="94" cm="1">
        <f t="array" ref="G31">IF(A31&lt;=DATE2,SUM(IF((INDEX(INDICES,,1)=A31)*(INDEX(INDICES,5,)=indice_compo_max),INDEX(INDICES,,),0)),"")</f>
        <v>97.856739988719667</v>
      </c>
      <c r="H31" s="94" cm="1">
        <f t="array" ref="H31">IF(A31&lt;=DATE2,SUM(IF((INDEX(INDICES,,1)=A31)*(INDEX(INDICES,5,)=indice_compo_max2),INDEX(INDICES,,),0)),"")</f>
        <v>72.879260611055514</v>
      </c>
      <c r="I31" s="90"/>
      <c r="L31" t="str">
        <v>Ciment, chaux et plâtre</v>
      </c>
      <c r="M31" s="91">
        <v>0</v>
      </c>
      <c r="N31" s="90" t="str">
        <v>Plaques, feuilles, tubes et profilés en matières plastiques</v>
      </c>
      <c r="O31" s="90">
        <v>0</v>
      </c>
      <c r="P31" s="90"/>
      <c r="Q31">
        <v>10764176</v>
      </c>
      <c r="R31" t="str">
        <v>Ciment, chaux et plâtre</v>
      </c>
      <c r="S31" s="98">
        <v>0.58406196623634576</v>
      </c>
      <c r="T31" s="90"/>
      <c r="U31" s="90" t="str">
        <v>TP10f</v>
      </c>
      <c r="V31" t="str">
        <v>Canalisations, assainnissement et adduction d'eau avec fourniture de tuyaux avec fourniture de tuyaux multi-matériaux</v>
      </c>
      <c r="W31" s="4">
        <v>0.28822984244670979</v>
      </c>
    </row>
    <row r="32" spans="1:23">
      <c r="A32" s="95">
        <f t="shared" si="0"/>
        <v>43586</v>
      </c>
      <c r="B32" s="94" cm="1">
        <f t="array" ref="B32">IF(A32&lt;=DATE2,SUM(IF((INDEX(INDEX,,1)=A32)*(INDEX(INDEX,3,)="TP01"),INDEX(INDEX,,),0)),"")</f>
        <v>111.8</v>
      </c>
      <c r="C32" s="94" cm="1">
        <f t="array" ref="C32">IF(A32&lt;=DATE2,SUM(IF((INDEX(INDEX,,1)=A32)*(INDEX(INDEX,3,)=index_choisi),INDEX(INDEX,,),0)),"")</f>
        <v>114.1</v>
      </c>
      <c r="D32" s="94" cm="1">
        <f t="array" ref="D32">IF(A32&lt;=DATE2,SUM(IF((INDEX(INDICES,,1)=A32)*(INDEX(INDICES,5,)="Matériel"),INDEX(INDICES,,),0)),"")</f>
        <v>105</v>
      </c>
      <c r="E32" s="94" cm="1">
        <f t="array" ref="E32">IF(A32&lt;=DATE2,SUM(IF((INDEX(INDICES,,1)=A32)*(INDEX(INDICES,5,)="Travail"),INDEX(INDICES,,),0)),"")</f>
        <v>122.5</v>
      </c>
      <c r="F32" s="94" cm="1">
        <f t="array" ref="F32">IF(A32&lt;=DATE2,SUM(IF((INDEX(INDICES,,1)=A32)*(INDEX(INDICES,5,)="GNR pour les Travaux Publics"),INDEX(INDICES,,),0)),"")</f>
        <v>103.5</v>
      </c>
      <c r="G32" s="94" cm="1">
        <f t="array" ref="G32">IF(A32&lt;=DATE2,SUM(IF((INDEX(INDICES,,1)=A32)*(INDEX(INDICES,5,)=indice_compo_max),INDEX(INDICES,,),0)),"")</f>
        <v>98.608761045309265</v>
      </c>
      <c r="H32" s="94" cm="1">
        <f t="array" ref="H32">IF(A32&lt;=DATE2,SUM(IF((INDEX(INDICES,,1)=A32)*(INDEX(INDICES,5,)=indice_compo_max2),INDEX(INDICES,,),0)),"")</f>
        <v>72.408312238770819</v>
      </c>
      <c r="I32" s="90"/>
      <c r="L32" t="str">
        <v>Autres produits chimiques</v>
      </c>
      <c r="M32" s="91">
        <v>0</v>
      </c>
      <c r="N32" s="90" t="str">
        <v>Ciment, chaux et plâtre</v>
      </c>
      <c r="O32" s="90">
        <v>0</v>
      </c>
      <c r="P32" s="90"/>
      <c r="Q32">
        <v>10764149</v>
      </c>
      <c r="R32" t="str">
        <v>Autres produits chimiques</v>
      </c>
      <c r="S32" s="98">
        <v>0.49897552657973931</v>
      </c>
      <c r="T32" s="90"/>
      <c r="U32" s="90" t="str">
        <v>TP11</v>
      </c>
      <c r="V32" t="str">
        <v>Canalisations grandes distances de transport / transfert  avec fourniture de tuyaux</v>
      </c>
      <c r="W32" s="4">
        <v>0.33560975609756105</v>
      </c>
    </row>
    <row r="33" spans="1:23">
      <c r="A33" s="95">
        <f t="shared" si="0"/>
        <v>43617</v>
      </c>
      <c r="B33" s="94" cm="1">
        <f t="array" ref="B33">IF(A33&lt;=DATE2,SUM(IF((INDEX(INDEX,,1)=A33)*(INDEX(INDEX,3,)="TP01"),INDEX(INDEX,,),0)),"")</f>
        <v>111.5</v>
      </c>
      <c r="C33" s="94" cm="1">
        <f t="array" ref="C33">IF(A33&lt;=DATE2,SUM(IF((INDEX(INDEX,,1)=A33)*(INDEX(INDEX,3,)=index_choisi),INDEX(INDEX,,),0)),"")</f>
        <v>114.3</v>
      </c>
      <c r="D33" s="94" cm="1">
        <f t="array" ref="D33">IF(A33&lt;=DATE2,SUM(IF((INDEX(INDICES,,1)=A33)*(INDEX(INDICES,5,)="Matériel"),INDEX(INDICES,,),0)),"")</f>
        <v>104.9</v>
      </c>
      <c r="E33" s="94" cm="1">
        <f t="array" ref="E33">IF(A33&lt;=DATE2,SUM(IF((INDEX(INDICES,,1)=A33)*(INDEX(INDICES,5,)="Travail"),INDEX(INDICES,,),0)),"")</f>
        <v>122.7</v>
      </c>
      <c r="F33" s="94" cm="1">
        <f t="array" ref="F33">IF(A33&lt;=DATE2,SUM(IF((INDEX(INDICES,,1)=A33)*(INDEX(INDICES,5,)="GNR pour les Travaux Publics"),INDEX(INDICES,,),0)),"")</f>
        <v>96.5</v>
      </c>
      <c r="G33" s="94" cm="1">
        <f t="array" ref="G33">IF(A33&lt;=DATE2,SUM(IF((INDEX(INDICES,,1)=A33)*(INDEX(INDICES,5,)=indice_compo_max),INDEX(INDICES,,),0)),"")</f>
        <v>98.98477157360405</v>
      </c>
      <c r="H33" s="94" cm="1">
        <f t="array" ref="H33">IF(A33&lt;=DATE2,SUM(IF((INDEX(INDICES,,1)=A33)*(INDEX(INDICES,5,)=indice_compo_max2),INDEX(INDICES,,),0)),"")</f>
        <v>71.819626773414967</v>
      </c>
      <c r="I33" s="90"/>
      <c r="L33" t="str">
        <v>Acier pour la construction</v>
      </c>
      <c r="M33" s="91">
        <v>0</v>
      </c>
      <c r="N33" s="90" t="str">
        <v>Autres produits chimiques</v>
      </c>
      <c r="O33" s="90">
        <v>0</v>
      </c>
      <c r="P33" s="90"/>
      <c r="Q33">
        <v>10765837</v>
      </c>
      <c r="R33" t="str">
        <v>Acier pour la construction</v>
      </c>
      <c r="S33" s="98">
        <v>0.22825178571428562</v>
      </c>
      <c r="T33" s="90"/>
      <c r="U33" s="90" t="str">
        <v>TP12a</v>
      </c>
      <c r="V33" t="str">
        <v>Réseaux d'énergie et de communication</v>
      </c>
      <c r="W33" s="4">
        <v>0.30917431192660549</v>
      </c>
    </row>
    <row r="34" spans="1:23">
      <c r="A34" s="95">
        <f t="shared" si="0"/>
        <v>43647</v>
      </c>
      <c r="B34" s="94" cm="1">
        <f t="array" ref="B34">IF(A34&lt;=DATE2,SUM(IF((INDEX(INDEX,,1)=A34)*(INDEX(INDEX,3,)="TP01"),INDEX(INDEX,,),0)),"")</f>
        <v>111.5</v>
      </c>
      <c r="C34" s="94" cm="1">
        <f t="array" ref="C34">IF(A34&lt;=DATE2,SUM(IF((INDEX(INDEX,,1)=A34)*(INDEX(INDEX,3,)=index_choisi),INDEX(INDEX,,),0)),"")</f>
        <v>114.5</v>
      </c>
      <c r="D34" s="94" cm="1">
        <f t="array" ref="D34">IF(A34&lt;=DATE2,SUM(IF((INDEX(INDICES,,1)=A34)*(INDEX(INDICES,5,)="Matériel"),INDEX(INDICES,,),0)),"")</f>
        <v>105</v>
      </c>
      <c r="E34" s="94" cm="1">
        <f t="array" ref="E34">IF(A34&lt;=DATE2,SUM(IF((INDEX(INDICES,,1)=A34)*(INDEX(INDICES,5,)="Travail"),INDEX(INDICES,,),0)),"")</f>
        <v>122.9</v>
      </c>
      <c r="F34" s="94" cm="1">
        <f t="array" ref="F34">IF(A34&lt;=DATE2,SUM(IF((INDEX(INDICES,,1)=A34)*(INDEX(INDICES,5,)="GNR pour les Travaux Publics"),INDEX(INDICES,,),0)),"")</f>
        <v>97.7</v>
      </c>
      <c r="G34" s="94" cm="1">
        <f t="array" ref="G34">IF(A34&lt;=DATE2,SUM(IF((INDEX(INDICES,,1)=A34)*(INDEX(INDICES,5,)=indice_compo_max),INDEX(INDICES,,),0)),"")</f>
        <v>99.07877420567776</v>
      </c>
      <c r="H34" s="94" cm="1">
        <f t="array" ref="H34">IF(A34&lt;=DATE2,SUM(IF((INDEX(INDICES,,1)=A34)*(INDEX(INDICES,5,)=indice_compo_max2),INDEX(INDICES,,),0)),"")</f>
        <v>70.936598575381169</v>
      </c>
      <c r="I34" s="90"/>
      <c r="L34" t="str">
        <v>Bitume</v>
      </c>
      <c r="M34" s="91">
        <v>0</v>
      </c>
      <c r="N34" s="90" t="str">
        <v>Acier pour la construction</v>
      </c>
      <c r="O34" s="90">
        <v>0</v>
      </c>
      <c r="P34" s="90"/>
      <c r="Q34">
        <v>10764136</v>
      </c>
      <c r="R34" t="str">
        <v>Bitume</v>
      </c>
      <c r="S34" s="98">
        <v>0.97455182481751823</v>
      </c>
      <c r="T34" s="90"/>
      <c r="U34" s="90" t="str">
        <v>TP12b</v>
      </c>
      <c r="V34" t="str">
        <v>Éclairage public -Travaux d'installation</v>
      </c>
      <c r="W34" s="4">
        <v>0.25727699530516435</v>
      </c>
    </row>
    <row r="35" spans="1:23">
      <c r="A35" s="95">
        <f t="shared" si="0"/>
        <v>43678</v>
      </c>
      <c r="B35" s="94" cm="1">
        <f t="array" ref="B35">IF(A35&lt;=DATE2,SUM(IF((INDEX(INDEX,,1)=A35)*(INDEX(INDEX,3,)="TP01"),INDEX(INDEX,,),0)),"")</f>
        <v>111.5</v>
      </c>
      <c r="C35" s="94" cm="1">
        <f t="array" ref="C35">IF(A35&lt;=DATE2,SUM(IF((INDEX(INDEX,,1)=A35)*(INDEX(INDEX,3,)=index_choisi),INDEX(INDEX,,),0)),"")</f>
        <v>114.7</v>
      </c>
      <c r="D35" s="94" cm="1">
        <f t="array" ref="D35">IF(A35&lt;=DATE2,SUM(IF((INDEX(INDICES,,1)=A35)*(INDEX(INDICES,5,)="Matériel"),INDEX(INDICES,,),0)),"")</f>
        <v>105.1</v>
      </c>
      <c r="E35" s="94" cm="1">
        <f t="array" ref="E35">IF(A35&lt;=DATE2,SUM(IF((INDEX(INDICES,,1)=A35)*(INDEX(INDICES,5,)="Travail"),INDEX(INDICES,,),0)),"")</f>
        <v>123.1</v>
      </c>
      <c r="F35" s="94" cm="1">
        <f t="array" ref="F35">IF(A35&lt;=DATE2,SUM(IF((INDEX(INDICES,,1)=A35)*(INDEX(INDICES,5,)="GNR pour les Travaux Publics"),INDEX(INDICES,,),0)),"")</f>
        <v>96.4</v>
      </c>
      <c r="G35" s="94" cm="1">
        <f t="array" ref="G35">IF(A35&lt;=DATE2,SUM(IF((INDEX(INDICES,,1)=A35)*(INDEX(INDICES,5,)=indice_compo_max),INDEX(INDICES,,),0)),"")</f>
        <v>100.30080842263582</v>
      </c>
      <c r="H35" s="94" cm="1">
        <f t="array" ref="H35">IF(A35&lt;=DATE2,SUM(IF((INDEX(INDICES,,1)=A35)*(INDEX(INDICES,5,)=indice_compo_max2),INDEX(INDICES,,),0)),"")</f>
        <v>70.524518749632065</v>
      </c>
      <c r="I35" s="90"/>
      <c r="L35" t="str">
        <v>Produits de voierie en béton</v>
      </c>
      <c r="M35" s="91">
        <v>0</v>
      </c>
      <c r="N35" s="90" t="str">
        <v>Bitume</v>
      </c>
      <c r="O35" s="90">
        <v>0</v>
      </c>
      <c r="P35" s="90"/>
      <c r="Q35">
        <v>10763871</v>
      </c>
      <c r="R35" t="str">
        <v>Produits de voierie en béton</v>
      </c>
      <c r="S35" s="98">
        <v>0.38330800821355226</v>
      </c>
      <c r="T35" s="90"/>
      <c r="U35" s="90" t="str">
        <v>TP12c</v>
      </c>
      <c r="V35" t="str">
        <v>Éclairage public - Travaux  de maintenance</v>
      </c>
      <c r="W35" s="4">
        <v>0.21467391304347805</v>
      </c>
    </row>
    <row r="36" spans="1:23">
      <c r="A36" s="95">
        <f t="shared" si="0"/>
        <v>43709</v>
      </c>
      <c r="B36" s="94" cm="1">
        <f t="array" ref="B36">IF(A36&lt;=DATE2,SUM(IF((INDEX(INDEX,,1)=A36)*(INDEX(INDEX,3,)="TP01"),INDEX(INDEX,,),0)),"")</f>
        <v>111.2</v>
      </c>
      <c r="C36" s="94" cm="1">
        <f t="array" ref="C36">IF(A36&lt;=DATE2,SUM(IF((INDEX(INDEX,,1)=A36)*(INDEX(INDEX,3,)=index_choisi),INDEX(INDEX,,),0)),"")</f>
        <v>114.6</v>
      </c>
      <c r="D36" s="94" cm="1">
        <f t="array" ref="D36">IF(A36&lt;=DATE2,SUM(IF((INDEX(INDICES,,1)=A36)*(INDEX(INDICES,5,)="Matériel"),INDEX(INDICES,,),0)),"")</f>
        <v>105.7</v>
      </c>
      <c r="E36" s="94" cm="1">
        <f t="array" ref="E36">IF(A36&lt;=DATE2,SUM(IF((INDEX(INDICES,,1)=A36)*(INDEX(INDICES,5,)="Travail"),INDEX(INDICES,,),0)),"")</f>
        <v>123.3</v>
      </c>
      <c r="F36" s="94" cm="1">
        <f t="array" ref="F36">IF(A36&lt;=DATE2,SUM(IF((INDEX(INDICES,,1)=A36)*(INDEX(INDICES,5,)="GNR pour les Travaux Publics"),INDEX(INDICES,,),0)),"")</f>
        <v>100.6</v>
      </c>
      <c r="G36" s="94" cm="1">
        <f t="array" ref="G36">IF(A36&lt;=DATE2,SUM(IF((INDEX(INDICES,,1)=A36)*(INDEX(INDICES,5,)=indice_compo_max),INDEX(INDICES,,),0)),"")</f>
        <v>98.890768941530354</v>
      </c>
      <c r="H36" s="94" cm="1">
        <f t="array" ref="H36">IF(A36&lt;=DATE2,SUM(IF((INDEX(INDICES,,1)=A36)*(INDEX(INDICES,5,)=indice_compo_max2),INDEX(INDICES,,),0)),"")</f>
        <v>69.641490551598281</v>
      </c>
      <c r="I36" s="90"/>
      <c r="L36" t="str">
        <v>Mortiers et bétons secs</v>
      </c>
      <c r="M36" s="91">
        <v>0</v>
      </c>
      <c r="N36" s="90" t="str">
        <v>Produits de voierie en béton</v>
      </c>
      <c r="O36" s="90">
        <v>0</v>
      </c>
      <c r="P36" s="90"/>
      <c r="Q36">
        <v>10764181</v>
      </c>
      <c r="R36" t="str">
        <v>Mortiers et bétons secs</v>
      </c>
      <c r="S36" s="98">
        <v>0.22753083247687544</v>
      </c>
      <c r="T36" s="90"/>
      <c r="U36" s="90" t="str">
        <v>TP12d</v>
      </c>
      <c r="V36" t="str">
        <v>Réseaux de communication en fibre optique</v>
      </c>
      <c r="W36" s="4">
        <v>0.180505415162455</v>
      </c>
    </row>
    <row r="37" spans="1:23">
      <c r="A37" s="95">
        <f t="shared" si="0"/>
        <v>43739</v>
      </c>
      <c r="B37" s="94" cm="1">
        <f t="array" ref="B37">IF(A37&lt;=DATE2,SUM(IF((INDEX(INDEX,,1)=A37)*(INDEX(INDEX,3,)="TP01"),INDEX(INDEX,,),0)),"")</f>
        <v>111.2</v>
      </c>
      <c r="C37" s="94" cm="1">
        <f t="array" ref="C37">IF(A37&lt;=DATE2,SUM(IF((INDEX(INDEX,,1)=A37)*(INDEX(INDEX,3,)=index_choisi),INDEX(INDEX,,),0)),"")</f>
        <v>114.2</v>
      </c>
      <c r="D37" s="94" cm="1">
        <f t="array" ref="D37">IF(A37&lt;=DATE2,SUM(IF((INDEX(INDICES,,1)=A37)*(INDEX(INDICES,5,)="Matériel"),INDEX(INDICES,,),0)),"")</f>
        <v>105.6</v>
      </c>
      <c r="E37" s="94" cm="1">
        <f t="array" ref="E37">IF(A37&lt;=DATE2,SUM(IF((INDEX(INDICES,,1)=A37)*(INDEX(INDICES,5,)="Travail"),INDEX(INDICES,,),0)),"")</f>
        <v>123.5</v>
      </c>
      <c r="F37" s="94" cm="1">
        <f t="array" ref="F37">IF(A37&lt;=DATE2,SUM(IF((INDEX(INDICES,,1)=A37)*(INDEX(INDICES,5,)="GNR pour les Travaux Publics"),INDEX(INDICES,,),0)),"")</f>
        <v>100.2</v>
      </c>
      <c r="G37" s="94" cm="1">
        <f t="array" ref="G37">IF(A37&lt;=DATE2,SUM(IF((INDEX(INDICES,,1)=A37)*(INDEX(INDICES,5,)=indice_compo_max),INDEX(INDICES,,),0)),"")</f>
        <v>98.420755781161873</v>
      </c>
      <c r="H37" s="94" cm="1">
        <f t="array" ref="H37">IF(A37&lt;=DATE2,SUM(IF((INDEX(INDICES,,1)=A37)*(INDEX(INDICES,5,)=indice_compo_max2),INDEX(INDICES,,),0)),"")</f>
        <v>67.169011597103662</v>
      </c>
      <c r="I37" s="90"/>
      <c r="L37" t="str">
        <v>Travaux de fonderie de fonte</v>
      </c>
      <c r="M37" s="91">
        <v>0</v>
      </c>
      <c r="N37" s="90" t="str">
        <v>Mortiers et bétons secs</v>
      </c>
      <c r="O37" s="90">
        <v>0</v>
      </c>
      <c r="P37" s="90"/>
      <c r="Q37">
        <v>10764195</v>
      </c>
      <c r="R37" t="str">
        <v>Travaux de fonderie de fonte</v>
      </c>
      <c r="S37" s="98">
        <v>0.43565897714907509</v>
      </c>
      <c r="T37" s="90"/>
      <c r="U37" s="90" t="str">
        <v>TP13a</v>
      </c>
      <c r="V37" t="str">
        <v>Charpentes et ouvrages d'art métalliques</v>
      </c>
      <c r="W37" s="4">
        <v>0.41881918819188191</v>
      </c>
    </row>
    <row r="38" spans="1:23">
      <c r="A38" s="95">
        <f t="shared" si="0"/>
        <v>43770</v>
      </c>
      <c r="B38" s="94" cm="1">
        <f t="array" ref="B38">IF(A38&lt;=DATE2,SUM(IF((INDEX(INDEX,,1)=A38)*(INDEX(INDEX,3,)="TP01"),INDEX(INDEX,,),0)),"")</f>
        <v>110.5</v>
      </c>
      <c r="C38" s="94" cm="1">
        <f t="array" ref="C38">IF(A38&lt;=DATE2,SUM(IF((INDEX(INDEX,,1)=A38)*(INDEX(INDEX,3,)=index_choisi),INDEX(INDEX,,),0)),"")</f>
        <v>114.2</v>
      </c>
      <c r="D38" s="94" cm="1">
        <f t="array" ref="D38">IF(A38&lt;=DATE2,SUM(IF((INDEX(INDICES,,1)=A38)*(INDEX(INDICES,5,)="Matériel"),INDEX(INDICES,,),0)),"")</f>
        <v>105.1</v>
      </c>
      <c r="E38" s="94" cm="1">
        <f t="array" ref="E38">IF(A38&lt;=DATE2,SUM(IF((INDEX(INDICES,,1)=A38)*(INDEX(INDICES,5,)="Travail"),INDEX(INDICES,,),0)),"")</f>
        <v>123.7</v>
      </c>
      <c r="F38" s="94" cm="1">
        <f t="array" ref="F38">IF(A38&lt;=DATE2,SUM(IF((INDEX(INDICES,,1)=A38)*(INDEX(INDICES,5,)="GNR pour les Travaux Publics"),INDEX(INDICES,,),0)),"")</f>
        <v>100</v>
      </c>
      <c r="G38" s="94" cm="1">
        <f t="array" ref="G38">IF(A38&lt;=DATE2,SUM(IF((INDEX(INDICES,,1)=A38)*(INDEX(INDICES,5,)=indice_compo_max),INDEX(INDICES,,),0)),"")</f>
        <v>98.232750517014466</v>
      </c>
      <c r="H38" s="94" cm="1">
        <f t="array" ref="H38">IF(A38&lt;=DATE2,SUM(IF((INDEX(INDICES,,1)=A38)*(INDEX(INDICES,5,)=indice_compo_max2),INDEX(INDICES,,),0)),"")</f>
        <v>65.520692294107249</v>
      </c>
      <c r="I38" s="90"/>
      <c r="J38" s="90"/>
      <c r="L38" t="str">
        <v>Tuiles, briques et produits de construction en terre cuite</v>
      </c>
      <c r="M38" s="91">
        <v>0</v>
      </c>
      <c r="N38" s="90" t="str">
        <v>Travaux de fonderie de fonte</v>
      </c>
      <c r="O38" s="90">
        <v>0</v>
      </c>
      <c r="P38" s="90"/>
      <c r="Q38">
        <v>10764172</v>
      </c>
      <c r="R38" t="str">
        <v>Tuiles, briques et produits de construction en terre cuite</v>
      </c>
      <c r="S38" s="98">
        <v>0.47625379241516952</v>
      </c>
      <c r="T38" s="90"/>
      <c r="U38" s="90" t="str">
        <v>TP13b</v>
      </c>
      <c r="V38" t="str">
        <v>Charpentes et ouvrages d'art métalliques sans fourniture des aciers</v>
      </c>
      <c r="W38" s="172" t="e">
        <v>#N/A</v>
      </c>
    </row>
    <row r="39" spans="1:23">
      <c r="A39" s="95">
        <f t="shared" si="0"/>
        <v>43800</v>
      </c>
      <c r="B39" s="94" cm="1">
        <f t="array" ref="B39">IF(A39&lt;=DATE2,SUM(IF((INDEX(INDEX,,1)=A39)*(INDEX(INDEX,3,)="TP01"),INDEX(INDEX,,),0)),"")</f>
        <v>110.4</v>
      </c>
      <c r="C39" s="94" cm="1">
        <f t="array" ref="C39">IF(A39&lt;=DATE2,SUM(IF((INDEX(INDEX,,1)=A39)*(INDEX(INDEX,3,)=index_choisi),INDEX(INDEX,,),0)),"")</f>
        <v>114.3</v>
      </c>
      <c r="D39" s="94" cm="1">
        <f t="array" ref="D39">IF(A39&lt;=DATE2,SUM(IF((INDEX(INDICES,,1)=A39)*(INDEX(INDICES,5,)="Matériel"),INDEX(INDICES,,),0)),"")</f>
        <v>104.6</v>
      </c>
      <c r="E39" s="94" cm="1">
        <f t="array" ref="E39">IF(A39&lt;=DATE2,SUM(IF((INDEX(INDICES,,1)=A39)*(INDEX(INDICES,5,)="Travail"),INDEX(INDICES,,),0)),"")</f>
        <v>123.9</v>
      </c>
      <c r="F39" s="94" cm="1">
        <f t="array" ref="F39">IF(A39&lt;=DATE2,SUM(IF((INDEX(INDICES,,1)=A39)*(INDEX(INDICES,5,)="GNR pour les Travaux Publics"),INDEX(INDICES,,),0)),"")</f>
        <v>102.2</v>
      </c>
      <c r="G39" s="94" cm="1">
        <f t="array" ref="G39">IF(A39&lt;=DATE2,SUM(IF((INDEX(INDICES,,1)=A39)*(INDEX(INDICES,5,)=indice_compo_max),INDEX(INDICES,,),0)),"")</f>
        <v>98.514758413235555</v>
      </c>
      <c r="H39" s="94" cm="1">
        <f t="array" ref="H39">IF(A39&lt;=DATE2,SUM(IF((INDEX(INDICES,,1)=A39)*(INDEX(INDICES,5,)=indice_compo_max2),INDEX(INDICES,,),0)),"")</f>
        <v>65.461823747571671</v>
      </c>
      <c r="I39" s="90"/>
      <c r="J39" s="90"/>
      <c r="L39" t="str">
        <v>Réseaux d’assainissement</v>
      </c>
      <c r="M39" s="91">
        <v>0</v>
      </c>
      <c r="N39" s="90" t="str">
        <v>Tuiles, briques et produits de construction en terre cuite</v>
      </c>
      <c r="O39" s="90">
        <v>0</v>
      </c>
      <c r="P39" s="90"/>
      <c r="Q39">
        <v>10766292</v>
      </c>
      <c r="R39" t="str">
        <v>Réseaux d’assainissement</v>
      </c>
      <c r="S39" s="98">
        <v>0.43463575183044312</v>
      </c>
      <c r="T39" s="90"/>
      <c r="U39" s="90"/>
    </row>
    <row r="40" spans="1:23">
      <c r="A40" s="95">
        <f t="shared" si="0"/>
        <v>43831</v>
      </c>
      <c r="B40" s="94" cm="1">
        <f t="array" ref="B40">IF(A40&lt;=DATE2,SUM(IF((INDEX(INDEX,,1)=A40)*(INDEX(INDEX,3,)="TP01"),INDEX(INDEX,,),0)),"")</f>
        <v>111.4</v>
      </c>
      <c r="C40" s="94" cm="1">
        <f t="array" ref="C40">IF(A40&lt;=DATE2,SUM(IF((INDEX(INDEX,,1)=A40)*(INDEX(INDEX,3,)=index_choisi),INDEX(INDEX,,),0)),"")</f>
        <v>114.7</v>
      </c>
      <c r="D40" s="94" cm="1">
        <f t="array" ref="D40">IF(A40&lt;=DATE2,SUM(IF((INDEX(INDICES,,1)=A40)*(INDEX(INDICES,5,)="Matériel"),INDEX(INDICES,,),0)),"")</f>
        <v>104.7</v>
      </c>
      <c r="E40" s="94" cm="1">
        <f t="array" ref="E40">IF(A40&lt;=DATE2,SUM(IF((INDEX(INDICES,,1)=A40)*(INDEX(INDICES,5,)="Travail"),INDEX(INDICES,,),0)),"")</f>
        <v>123.7</v>
      </c>
      <c r="F40" s="94" cm="1">
        <f t="array" ref="F40">IF(A40&lt;=DATE2,SUM(IF((INDEX(INDICES,,1)=A40)*(INDEX(INDICES,5,)="GNR pour les Travaux Publics"),INDEX(INDICES,,),0)),"")</f>
        <v>101.2</v>
      </c>
      <c r="G40" s="94" cm="1">
        <f t="array" ref="G40">IF(A40&lt;=DATE2,SUM(IF((INDEX(INDICES,,1)=A40)*(INDEX(INDICES,5,)=indice_compo_max),INDEX(INDICES,,),0)),"")</f>
        <v>98.890768941530354</v>
      </c>
      <c r="H40" s="94" cm="1">
        <f t="array" ref="H40">IF(A40&lt;=DATE2,SUM(IF((INDEX(INDICES,,1)=A40)*(INDEX(INDICES,5,)=indice_compo_max2),INDEX(INDICES,,),0)),"")</f>
        <v>66.285983399069863</v>
      </c>
      <c r="I40" s="90"/>
      <c r="J40" s="90"/>
      <c r="L40" t="str">
        <v>Autres textiles</v>
      </c>
      <c r="M40" s="91">
        <v>0</v>
      </c>
      <c r="N40" s="90" t="str">
        <v>Réseaux d’assainissement</v>
      </c>
      <c r="O40" s="90">
        <v>0</v>
      </c>
      <c r="P40" s="90"/>
      <c r="Q40">
        <v>10764101</v>
      </c>
      <c r="R40" t="str">
        <v>Autres textiles</v>
      </c>
      <c r="S40" s="98">
        <v>0.26953222979552094</v>
      </c>
      <c r="T40" s="90"/>
      <c r="U40" s="90"/>
    </row>
    <row r="41" spans="1:23">
      <c r="A41" s="95">
        <f t="shared" si="0"/>
        <v>43862</v>
      </c>
      <c r="B41" s="94" cm="1">
        <f t="array" ref="B41">IF(A41&lt;=DATE2,SUM(IF((INDEX(INDEX,,1)=A41)*(INDEX(INDEX,3,)="TP01"),INDEX(INDEX,,),0)),"")</f>
        <v>111.7</v>
      </c>
      <c r="C41" s="94" cm="1">
        <f t="array" ref="C41">IF(A41&lt;=DATE2,SUM(IF((INDEX(INDEX,,1)=A41)*(INDEX(INDEX,3,)=index_choisi),INDEX(INDEX,,),0)),"")</f>
        <v>114.8</v>
      </c>
      <c r="D41" s="94" cm="1">
        <f t="array" ref="D41">IF(A41&lt;=DATE2,SUM(IF((INDEX(INDICES,,1)=A41)*(INDEX(INDICES,5,)="Matériel"),INDEX(INDICES,,),0)),"")</f>
        <v>105.5</v>
      </c>
      <c r="E41" s="94" cm="1">
        <f t="array" ref="E41">IF(A41&lt;=DATE2,SUM(IF((INDEX(INDICES,,1)=A41)*(INDEX(INDICES,5,)="Travail"),INDEX(INDICES,,),0)),"")</f>
        <v>123.5</v>
      </c>
      <c r="F41" s="94" cm="1">
        <f t="array" ref="F41">IF(A41&lt;=DATE2,SUM(IF((INDEX(INDICES,,1)=A41)*(INDEX(INDICES,5,)="GNR pour les Travaux Publics"),INDEX(INDICES,,),0)),"")</f>
        <v>94.6</v>
      </c>
      <c r="G41" s="94" cm="1">
        <f t="array" ref="G41">IF(A41&lt;=DATE2,SUM(IF((INDEX(INDICES,,1)=A41)*(INDEX(INDICES,5,)=indice_compo_max),INDEX(INDICES,,),0)),"")</f>
        <v>97.480729460424882</v>
      </c>
      <c r="H41" s="94" cm="1">
        <f t="array" ref="H41">IF(A41&lt;=DATE2,SUM(IF((INDEX(INDICES,,1)=A41)*(INDEX(INDICES,5,)=indice_compo_max2),INDEX(INDICES,,),0)),"")</f>
        <v>66.815800317890151</v>
      </c>
      <c r="I41" s="90"/>
      <c r="J41" s="90"/>
      <c r="L41" t="str">
        <v>Matières plastiques sous formes primaires</v>
      </c>
      <c r="M41" s="91">
        <v>0</v>
      </c>
      <c r="N41" s="90" t="str">
        <v>Autres textiles</v>
      </c>
      <c r="O41" s="90">
        <v>0</v>
      </c>
      <c r="P41" s="90"/>
      <c r="Q41">
        <v>10764143</v>
      </c>
      <c r="R41" t="str">
        <v>Matières plastiques sous formes primaires</v>
      </c>
      <c r="S41" s="98">
        <v>0.54309271332694165</v>
      </c>
      <c r="T41" s="90"/>
      <c r="U41" s="90"/>
    </row>
    <row r="42" spans="1:23">
      <c r="A42" s="95">
        <f t="shared" si="0"/>
        <v>43891</v>
      </c>
      <c r="B42" s="94" cm="1">
        <f t="array" ref="B42">IF(A42&lt;=DATE2,SUM(IF((INDEX(INDEX,,1)=A42)*(INDEX(INDEX,3,)="TP01"),INDEX(INDEX,,),0)),"")</f>
        <v>110.8</v>
      </c>
      <c r="C42" s="94" cm="1">
        <f t="array" ref="C42">IF(A42&lt;=DATE2,SUM(IF((INDEX(INDEX,,1)=A42)*(INDEX(INDEX,3,)=index_choisi),INDEX(INDEX,,),0)),"")</f>
        <v>114.7</v>
      </c>
      <c r="D42" s="94" cm="1">
        <f t="array" ref="D42">IF(A42&lt;=DATE2,SUM(IF((INDEX(INDICES,,1)=A42)*(INDEX(INDICES,5,)="Matériel"),INDEX(INDICES,,),0)),"")</f>
        <v>105.3</v>
      </c>
      <c r="E42" s="94" cm="1">
        <f t="array" ref="E42">IF(A42&lt;=DATE2,SUM(IF((INDEX(INDICES,,1)=A42)*(INDEX(INDICES,5,)="Travail"),INDEX(INDICES,,),0)),"")</f>
        <v>123.3</v>
      </c>
      <c r="F42" s="94" cm="1">
        <f t="array" ref="F42">IF(A42&lt;=DATE2,SUM(IF((INDEX(INDICES,,1)=A42)*(INDEX(INDICES,5,)="GNR pour les Travaux Publics"),INDEX(INDICES,,),0)),"")</f>
        <v>81.5</v>
      </c>
      <c r="G42" s="94" cm="1">
        <f t="array" ref="G42">IF(A42&lt;=DATE2,SUM(IF((INDEX(INDICES,,1)=A42)*(INDEX(INDICES,5,)=indice_compo_max),INDEX(INDICES,,),0)),"")</f>
        <v>97.29272419627749</v>
      </c>
      <c r="H42" s="94" cm="1">
        <f t="array" ref="H42">IF(A42&lt;=DATE2,SUM(IF((INDEX(INDICES,,1)=A42)*(INDEX(INDICES,5,)=indice_compo_max2),INDEX(INDICES,,),0)),"")</f>
        <v>66.109377759463115</v>
      </c>
      <c r="I42" s="90"/>
      <c r="J42" s="90"/>
      <c r="L42" t="str">
        <v>Tubes, tuyaux, profilés creux et accessoires correspondants en acier</v>
      </c>
      <c r="M42" s="91">
        <v>0</v>
      </c>
      <c r="N42" s="90" t="str">
        <v>Matières plastiques sous formes primaires</v>
      </c>
      <c r="O42" s="90">
        <v>0</v>
      </c>
      <c r="P42" s="90"/>
      <c r="Q42">
        <v>10764187</v>
      </c>
      <c r="R42" t="str">
        <v>Tubes, tuyaux, profilés creux et accessoires correspondants en acier</v>
      </c>
      <c r="S42" s="98">
        <v>0.38271759082217982</v>
      </c>
      <c r="T42" s="90"/>
      <c r="U42" s="90"/>
    </row>
    <row r="43" spans="1:23">
      <c r="A43" s="95">
        <f t="shared" si="0"/>
        <v>43922</v>
      </c>
      <c r="B43" s="94" cm="1">
        <f t="array" ref="B43">IF(A43&lt;=DATE2,SUM(IF((INDEX(INDEX,,1)=A43)*(INDEX(INDEX,3,)="TP01"),INDEX(INDEX,,),0)),"")</f>
        <v>108.9</v>
      </c>
      <c r="C43" s="94" cm="1">
        <f t="array" ref="C43">IF(A43&lt;=DATE2,SUM(IF((INDEX(INDEX,,1)=A43)*(INDEX(INDEX,3,)=index_choisi),INDEX(INDEX,,),0)),"")</f>
        <v>114.4</v>
      </c>
      <c r="D43" s="94" cm="1">
        <f t="array" ref="D43">IF(A43&lt;=DATE2,SUM(IF((INDEX(INDICES,,1)=A43)*(INDEX(INDICES,5,)="Matériel"),INDEX(INDICES,,),0)),"")</f>
        <v>105.5</v>
      </c>
      <c r="E43" s="94" cm="1">
        <f t="array" ref="E43">IF(A43&lt;=DATE2,SUM(IF((INDEX(INDICES,,1)=A43)*(INDEX(INDICES,5,)="Travail"),INDEX(INDICES,,),0)),"")</f>
        <v>123.6</v>
      </c>
      <c r="F43" s="94" cm="1">
        <f t="array" ref="F43">IF(A43&lt;=DATE2,SUM(IF((INDEX(INDICES,,1)=A43)*(INDEX(INDICES,5,)="GNR pour les Travaux Publics"),INDEX(INDICES,,),0)),"")</f>
        <v>70.3</v>
      </c>
      <c r="G43" s="94" cm="1">
        <f t="array" ref="G43">IF(A43&lt;=DATE2,SUM(IF((INDEX(INDICES,,1)=A43)*(INDEX(INDICES,5,)=indice_compo_max),INDEX(INDICES,,),0)),"")</f>
        <v>96.540703139687906</v>
      </c>
      <c r="H43" s="94" cm="1">
        <f t="array" ref="H43">IF(A43&lt;=DATE2,SUM(IF((INDEX(INDICES,,1)=A43)*(INDEX(INDICES,5,)=indice_compo_max2),INDEX(INDICES,,),0)),"")</f>
        <v>65.991640666391945</v>
      </c>
      <c r="I43" s="90"/>
      <c r="J43" s="90"/>
      <c r="L43" t="str">
        <v>Éléments en béton pour la construction</v>
      </c>
      <c r="M43" s="91">
        <v>0</v>
      </c>
      <c r="N43" s="90" t="str">
        <v>Tubes, tuyaux, profilés creux et accessoires correspondants en acier</v>
      </c>
      <c r="O43" s="90">
        <v>0</v>
      </c>
      <c r="P43" s="90"/>
      <c r="Q43">
        <v>10764179</v>
      </c>
      <c r="R43" t="str">
        <v>Éléments en béton pour la construction</v>
      </c>
      <c r="S43" s="98">
        <v>0.28893154084798334</v>
      </c>
      <c r="T43" s="90"/>
      <c r="U43" s="90"/>
    </row>
    <row r="44" spans="1:23">
      <c r="A44" s="95">
        <f t="shared" si="0"/>
        <v>43952</v>
      </c>
      <c r="B44" s="94" cm="1">
        <f t="array" ref="B44">IF(A44&lt;=DATE2,SUM(IF((INDEX(INDEX,,1)=A44)*(INDEX(INDEX,3,)="TP01"),INDEX(INDEX,,),0)),"")</f>
        <v>108.7</v>
      </c>
      <c r="C44" s="94" cm="1">
        <f t="array" ref="C44">IF(A44&lt;=DATE2,SUM(IF((INDEX(INDEX,,1)=A44)*(INDEX(INDEX,3,)=index_choisi),INDEX(INDEX,,),0)),"")</f>
        <v>114.2</v>
      </c>
      <c r="D44" s="94" cm="1">
        <f t="array" ref="D44">IF(A44&lt;=DATE2,SUM(IF((INDEX(INDICES,,1)=A44)*(INDEX(INDICES,5,)="Matériel"),INDEX(INDICES,,),0)),"")</f>
        <v>104.9</v>
      </c>
      <c r="E44" s="94" cm="1">
        <f t="array" ref="E44">IF(A44&lt;=DATE2,SUM(IF((INDEX(INDICES,,1)=A44)*(INDEX(INDICES,5,)="Travail"),INDEX(INDICES,,),0)),"")</f>
        <v>123.8</v>
      </c>
      <c r="F44" s="94" cm="1">
        <f t="array" ref="F44">IF(A44&lt;=DATE2,SUM(IF((INDEX(INDICES,,1)=A44)*(INDEX(INDICES,5,)="GNR pour les Travaux Publics"),INDEX(INDICES,,),0)),"")</f>
        <v>72.900000000000006</v>
      </c>
      <c r="G44" s="94" cm="1">
        <f t="array" ref="G44">IF(A44&lt;=DATE2,SUM(IF((INDEX(INDICES,,1)=A44)*(INDEX(INDICES,5,)=indice_compo_max),INDEX(INDICES,,),0)),"")</f>
        <v>98.13874788494077</v>
      </c>
      <c r="H44" s="94" cm="1">
        <f t="array" ref="H44">IF(A44&lt;=DATE2,SUM(IF((INDEX(INDICES,,1)=A44)*(INDEX(INDICES,5,)=indice_compo_max2),INDEX(INDICES,,),0)),"")</f>
        <v>65.520692294107249</v>
      </c>
      <c r="I44" s="90"/>
      <c r="J44" s="90"/>
      <c r="L44" t="str">
        <v>Fils et câbles d'énergie</v>
      </c>
      <c r="M44" s="91">
        <v>0</v>
      </c>
      <c r="N44" s="90" t="str">
        <v>Éléments en béton pour la construction</v>
      </c>
      <c r="O44" s="90">
        <v>0</v>
      </c>
      <c r="P44" s="90"/>
      <c r="Q44">
        <v>10763930</v>
      </c>
      <c r="R44" t="str">
        <v>Fils et câbles d'énergie</v>
      </c>
      <c r="S44" s="98">
        <v>0.60124929577464781</v>
      </c>
      <c r="T44" s="90"/>
      <c r="U44" s="90"/>
    </row>
    <row r="45" spans="1:23">
      <c r="A45" s="95">
        <f t="shared" si="0"/>
        <v>43983</v>
      </c>
      <c r="B45" s="94" cm="1">
        <f t="array" ref="B45">IF(A45&lt;=DATE2,SUM(IF((INDEX(INDEX,,1)=A45)*(INDEX(INDEX,3,)="TP01"),INDEX(INDEX,,),0)),"")</f>
        <v>108.8</v>
      </c>
      <c r="C45" s="94" cm="1">
        <f t="array" ref="C45">IF(A45&lt;=DATE2,SUM(IF((INDEX(INDEX,,1)=A45)*(INDEX(INDEX,3,)=index_choisi),INDEX(INDEX,,),0)),"")</f>
        <v>113.7</v>
      </c>
      <c r="D45" s="94" cm="1">
        <f t="array" ref="D45">IF(A45&lt;=DATE2,SUM(IF((INDEX(INDICES,,1)=A45)*(INDEX(INDICES,5,)="Matériel"),INDEX(INDICES,,),0)),"")</f>
        <v>103</v>
      </c>
      <c r="E45" s="94" cm="1">
        <f t="array" ref="E45">IF(A45&lt;=DATE2,SUM(IF((INDEX(INDICES,,1)=A45)*(INDEX(INDICES,5,)="Travail"),INDEX(INDICES,,),0)),"")</f>
        <v>124</v>
      </c>
      <c r="F45" s="94" cm="1">
        <f t="array" ref="F45">IF(A45&lt;=DATE2,SUM(IF((INDEX(INDICES,,1)=A45)*(INDEX(INDICES,5,)="GNR pour les Travaux Publics"),INDEX(INDICES,,),0)),"")</f>
        <v>77.5</v>
      </c>
      <c r="G45" s="94" cm="1">
        <f t="array" ref="G45">IF(A45&lt;=DATE2,SUM(IF((INDEX(INDICES,,1)=A45)*(INDEX(INDICES,5,)=indice_compo_max),INDEX(INDICES,,),0)),"")</f>
        <v>99.07877420567776</v>
      </c>
      <c r="H45" s="94" cm="1">
        <f t="array" ref="H45">IF(A45&lt;=DATE2,SUM(IF((INDEX(INDICES,,1)=A45)*(INDEX(INDICES,5,)=indice_compo_max2),INDEX(INDICES,,),0)),"")</f>
        <v>64.578795549537887</v>
      </c>
      <c r="I45" s="90"/>
      <c r="J45" s="90"/>
      <c r="L45" t="str">
        <v>Moteurs, génératrices, transfo. électr., matér. distrib., cmde électr.</v>
      </c>
      <c r="M45" s="91">
        <v>0</v>
      </c>
      <c r="N45" s="90" t="str">
        <v>Fils et câbles d'énergie</v>
      </c>
      <c r="O45" s="90">
        <v>0</v>
      </c>
      <c r="P45" s="90"/>
      <c r="Q45">
        <v>10764223</v>
      </c>
      <c r="R45" t="str">
        <v>Moteurs, génératrices, transfo. électr., matér. distrib., cmde électr.</v>
      </c>
      <c r="S45" s="98">
        <v>0.38652652259332032</v>
      </c>
      <c r="T45" s="90"/>
      <c r="U45" s="90"/>
    </row>
    <row r="46" spans="1:23">
      <c r="A46" s="95">
        <f t="shared" si="0"/>
        <v>44013</v>
      </c>
      <c r="B46" s="94" cm="1">
        <f t="array" ref="B46">IF(A46&lt;=DATE2,SUM(IF((INDEX(INDEX,,1)=A46)*(INDEX(INDEX,3,)="TP01"),INDEX(INDEX,,),0)),"")</f>
        <v>109.9</v>
      </c>
      <c r="C46" s="94" cm="1">
        <f t="array" ref="C46">IF(A46&lt;=DATE2,SUM(IF((INDEX(INDEX,,1)=A46)*(INDEX(INDEX,3,)=index_choisi),INDEX(INDEX,,),0)),"")</f>
        <v>113.7</v>
      </c>
      <c r="D46" s="94" cm="1">
        <f t="array" ref="D46">IF(A46&lt;=DATE2,SUM(IF((INDEX(INDICES,,1)=A46)*(INDEX(INDICES,5,)="Matériel"),INDEX(INDICES,,),0)),"")</f>
        <v>102.6</v>
      </c>
      <c r="E46" s="94" cm="1">
        <f t="array" ref="E46">IF(A46&lt;=DATE2,SUM(IF((INDEX(INDICES,,1)=A46)*(INDEX(INDICES,5,)="Travail"),INDEX(INDICES,,),0)),"")</f>
        <v>123.8</v>
      </c>
      <c r="F46" s="94" cm="1">
        <f t="array" ref="F46">IF(A46&lt;=DATE2,SUM(IF((INDEX(INDICES,,1)=A46)*(INDEX(INDICES,5,)="GNR pour les Travaux Publics"),INDEX(INDICES,,),0)),"")</f>
        <v>78.8</v>
      </c>
      <c r="G46" s="94" cm="1">
        <f t="array" ref="G46">IF(A46&lt;=DATE2,SUM(IF((INDEX(INDICES,,1)=A46)*(INDEX(INDICES,5,)=indice_compo_max),INDEX(INDICES,,),0)),"")</f>
        <v>99.266779469825138</v>
      </c>
      <c r="H46" s="94" cm="1">
        <f t="array" ref="H46">IF(A46&lt;=DATE2,SUM(IF((INDEX(INDICES,,1)=A46)*(INDEX(INDICES,5,)=indice_compo_max2),INDEX(INDICES,,),0)),"")</f>
        <v>63.578030258432918</v>
      </c>
      <c r="I46" s="90"/>
      <c r="J46" s="90"/>
      <c r="L46" t="str">
        <v>Matériel de distribution et de commande électrique</v>
      </c>
      <c r="M46" s="91">
        <v>0</v>
      </c>
      <c r="N46" s="90" t="str">
        <v>Moteurs, génératrices, transfo. électr., matér. distrib., cmde électr.</v>
      </c>
      <c r="O46" s="90">
        <v>0</v>
      </c>
      <c r="P46" s="90"/>
      <c r="Q46">
        <v>10764224</v>
      </c>
      <c r="R46" t="str">
        <v>Matériel de distribution et de commande électrique</v>
      </c>
      <c r="S46" s="98">
        <v>0.52780536246276077</v>
      </c>
      <c r="T46" s="90"/>
      <c r="U46" s="90"/>
    </row>
    <row r="47" spans="1:23">
      <c r="A47" s="95">
        <f t="shared" si="0"/>
        <v>44044</v>
      </c>
      <c r="B47" s="94" cm="1">
        <f t="array" ref="B47">IF(A47&lt;=DATE2,SUM(IF((INDEX(INDEX,,1)=A47)*(INDEX(INDEX,3,)="TP01"),INDEX(INDEX,,),0)),"")</f>
        <v>110</v>
      </c>
      <c r="C47" s="94" cm="1">
        <f t="array" ref="C47">IF(A47&lt;=DATE2,SUM(IF((INDEX(INDEX,,1)=A47)*(INDEX(INDEX,3,)=index_choisi),INDEX(INDEX,,),0)),"")</f>
        <v>113.8</v>
      </c>
      <c r="D47" s="94" cm="1">
        <f t="array" ref="D47">IF(A47&lt;=DATE2,SUM(IF((INDEX(INDICES,,1)=A47)*(INDEX(INDICES,5,)="Matériel"),INDEX(INDICES,,),0)),"")</f>
        <v>102.8</v>
      </c>
      <c r="E47" s="94" cm="1">
        <f t="array" ref="E47">IF(A47&lt;=DATE2,SUM(IF((INDEX(INDICES,,1)=A47)*(INDEX(INDICES,5,)="Travail"),INDEX(INDICES,,),0)),"")</f>
        <v>123.7</v>
      </c>
      <c r="F47" s="94" cm="1">
        <f t="array" ref="F47">IF(A47&lt;=DATE2,SUM(IF((INDEX(INDICES,,1)=A47)*(INDEX(INDICES,5,)="GNR pour les Travaux Publics"),INDEX(INDICES,,),0)),"")</f>
        <v>77.8</v>
      </c>
      <c r="G47" s="94" cm="1">
        <f t="array" ref="G47">IF(A47&lt;=DATE2,SUM(IF((INDEX(INDICES,,1)=A47)*(INDEX(INDICES,5,)=indice_compo_max),INDEX(INDICES,,),0)),"")</f>
        <v>99.07877420567776</v>
      </c>
      <c r="H47" s="94" cm="1">
        <f t="array" ref="H47">IF(A47&lt;=DATE2,SUM(IF((INDEX(INDICES,,1)=A47)*(INDEX(INDICES,5,)=indice_compo_max2),INDEX(INDICES,,),0)),"")</f>
        <v>63.2248189792194</v>
      </c>
      <c r="I47" s="90"/>
      <c r="J47" s="90"/>
      <c r="L47" t="str">
        <v>Appareils d'éclairage électrique</v>
      </c>
      <c r="M47" s="91">
        <v>0</v>
      </c>
      <c r="N47" s="90" t="str">
        <v>Matériel de distribution et de commande électrique</v>
      </c>
      <c r="O47" s="90">
        <v>0</v>
      </c>
      <c r="P47" s="90"/>
      <c r="Q47">
        <v>10764228</v>
      </c>
      <c r="R47" t="str">
        <v>Appareils d'éclairage électrique</v>
      </c>
      <c r="S47" s="98">
        <v>6.6132098765432135E-2</v>
      </c>
      <c r="T47" s="90"/>
      <c r="U47" s="90"/>
    </row>
    <row r="48" spans="1:23">
      <c r="A48" s="95">
        <f t="shared" si="0"/>
        <v>44075</v>
      </c>
      <c r="B48" s="94" cm="1">
        <f t="array" ref="B48">IF(A48&lt;=DATE2,SUM(IF((INDEX(INDEX,,1)=A48)*(INDEX(INDEX,3,)="TP01"),INDEX(INDEX,,),0)),"")</f>
        <v>110.1</v>
      </c>
      <c r="C48" s="94" cm="1">
        <f t="array" ref="C48">IF(A48&lt;=DATE2,SUM(IF((INDEX(INDEX,,1)=A48)*(INDEX(INDEX,3,)=index_choisi),INDEX(INDEX,,),0)),"")</f>
        <v>114.4</v>
      </c>
      <c r="D48" s="94" cm="1">
        <f t="array" ref="D48">IF(A48&lt;=DATE2,SUM(IF((INDEX(INDICES,,1)=A48)*(INDEX(INDICES,5,)="Matériel"),INDEX(INDICES,,),0)),"")</f>
        <v>104.4</v>
      </c>
      <c r="E48" s="94" cm="1">
        <f t="array" ref="E48">IF(A48&lt;=DATE2,SUM(IF((INDEX(INDICES,,1)=A48)*(INDEX(INDICES,5,)="Travail"),INDEX(INDICES,,),0)),"")</f>
        <v>123.6</v>
      </c>
      <c r="F48" s="94" cm="1">
        <f t="array" ref="F48">IF(A48&lt;=DATE2,SUM(IF((INDEX(INDICES,,1)=A48)*(INDEX(INDICES,5,)="GNR pour les Travaux Publics"),INDEX(INDICES,,),0)),"")</f>
        <v>73.8</v>
      </c>
      <c r="G48" s="94" cm="1">
        <f t="array" ref="G48">IF(A48&lt;=DATE2,SUM(IF((INDEX(INDICES,,1)=A48)*(INDEX(INDICES,5,)=indice_compo_max),INDEX(INDICES,,),0)),"")</f>
        <v>100.11280315848843</v>
      </c>
      <c r="H48" s="94" cm="1">
        <f t="array" ref="H48">IF(A48&lt;=DATE2,SUM(IF((INDEX(INDICES,,1)=A48)*(INDEX(INDICES,5,)=indice_compo_max2),INDEX(INDICES,,),0)),"")</f>
        <v>63.872372991110844</v>
      </c>
      <c r="I48" s="90"/>
      <c r="J48" s="90"/>
      <c r="L48" t="str">
        <v>Câbles de fibres optiques</v>
      </c>
      <c r="M48" s="91">
        <v>0</v>
      </c>
      <c r="N48" s="90" t="str">
        <v>Appareils d'éclairage électrique</v>
      </c>
      <c r="O48" s="90">
        <v>0</v>
      </c>
      <c r="P48" s="90"/>
      <c r="Q48">
        <v>10764834</v>
      </c>
      <c r="R48" t="str">
        <v>Câbles de fibres optiques</v>
      </c>
      <c r="S48" s="98">
        <v>-0.1798905660377359</v>
      </c>
      <c r="T48" s="90"/>
      <c r="U48" s="90"/>
    </row>
    <row r="49" spans="1:21">
      <c r="A49" s="95">
        <f t="shared" ref="A49:A80" si="1">IF(A48&lt;DATE2,EDATE(A48,1),"")</f>
        <v>44105</v>
      </c>
      <c r="B49" s="94" cm="1">
        <f t="array" ref="B49">IF(A49&lt;=DATE2,SUM(IF((INDEX(INDEX,,1)=A49)*(INDEX(INDEX,3,)="TP01"),INDEX(INDEX,,),0)),"")</f>
        <v>109.5</v>
      </c>
      <c r="C49" s="94" cm="1">
        <f t="array" ref="C49">IF(A49&lt;=DATE2,SUM(IF((INDEX(INDEX,,1)=A49)*(INDEX(INDEX,3,)=index_choisi),INDEX(INDEX,,),0)),"")</f>
        <v>114.4</v>
      </c>
      <c r="D49" s="94" cm="1">
        <f t="array" ref="D49">IF(A49&lt;=DATE2,SUM(IF((INDEX(INDICES,,1)=A49)*(INDEX(INDICES,5,)="Matériel"),INDEX(INDICES,,),0)),"")</f>
        <v>104.1</v>
      </c>
      <c r="E49" s="94" cm="1">
        <f t="array" ref="E49">IF(A49&lt;=DATE2,SUM(IF((INDEX(INDICES,,1)=A49)*(INDEX(INDICES,5,)="Travail"),INDEX(INDICES,,),0)),"")</f>
        <v>123.5</v>
      </c>
      <c r="F49" s="94" cm="1">
        <f t="array" ref="F49">IF(A49&lt;=DATE2,SUM(IF((INDEX(INDICES,,1)=A49)*(INDEX(INDICES,5,)="GNR pour les Travaux Publics"),INDEX(INDICES,,),0)),"")</f>
        <v>75.099999999999994</v>
      </c>
      <c r="G49" s="94" cm="1">
        <f t="array" ref="G49">IF(A49&lt;=DATE2,SUM(IF((INDEX(INDICES,,1)=A49)*(INDEX(INDICES,5,)=indice_compo_max),INDEX(INDICES,,),0)),"")</f>
        <v>99.548787366046241</v>
      </c>
      <c r="H49" s="94" cm="1">
        <f t="array" ref="H49">IF(A49&lt;=DATE2,SUM(IF((INDEX(INDICES,,1)=A49)*(INDEX(INDICES,5,)=indice_compo_max2),INDEX(INDICES,,),0)),"")</f>
        <v>65.167481014893738</v>
      </c>
      <c r="I49" s="90"/>
      <c r="J49" s="90"/>
      <c r="L49" t="str">
        <v>Peintures Industries</v>
      </c>
      <c r="M49" s="91">
        <v>0</v>
      </c>
      <c r="N49" s="90" t="str">
        <v>Câbles de fibres optiques</v>
      </c>
      <c r="O49" s="90">
        <v>0</v>
      </c>
      <c r="P49" s="90"/>
      <c r="Q49">
        <v>10763825</v>
      </c>
      <c r="R49" t="str">
        <v>Peintures Industries</v>
      </c>
      <c r="S49" s="4">
        <v>0.42451232091690549</v>
      </c>
      <c r="T49" s="90"/>
      <c r="U49" s="90"/>
    </row>
    <row r="50" spans="1:21">
      <c r="A50" s="95">
        <f t="shared" si="1"/>
        <v>44136</v>
      </c>
      <c r="B50" s="94" cm="1">
        <f t="array" ref="B50">IF(A50&lt;=DATE2,SUM(IF((INDEX(INDEX,,1)=A50)*(INDEX(INDEX,3,)="TP01"),INDEX(INDEX,,),0)),"")</f>
        <v>109.5</v>
      </c>
      <c r="C50" s="94" cm="1">
        <f t="array" ref="C50">IF(A50&lt;=DATE2,SUM(IF((INDEX(INDEX,,1)=A50)*(INDEX(INDEX,3,)=index_choisi),INDEX(INDEX,,),0)),"")</f>
        <v>114.5</v>
      </c>
      <c r="D50" s="94" cm="1">
        <f t="array" ref="D50">IF(A50&lt;=DATE2,SUM(IF((INDEX(INDICES,,1)=A50)*(INDEX(INDICES,5,)="Matériel"),INDEX(INDICES,,),0)),"")</f>
        <v>104.4</v>
      </c>
      <c r="E50" s="94" cm="1">
        <f t="array" ref="E50">IF(A50&lt;=DATE2,SUM(IF((INDEX(INDICES,,1)=A50)*(INDEX(INDICES,5,)="Travail"),INDEX(INDICES,,),0)),"")</f>
        <v>123.5</v>
      </c>
      <c r="F50" s="94" cm="1">
        <f t="array" ref="F50">IF(A50&lt;=DATE2,SUM(IF((INDEX(INDICES,,1)=A50)*(INDEX(INDICES,5,)="GNR pour les Travaux Publics"),INDEX(INDICES,,),0)),"")</f>
        <v>77.400000000000006</v>
      </c>
      <c r="G50" s="94" cm="1">
        <f t="array" ref="G50">IF(A50&lt;=DATE2,SUM(IF((INDEX(INDICES,,1)=A50)*(INDEX(INDICES,5,)=indice_compo_max),INDEX(INDICES,,),0)),"")</f>
        <v>99.07877420567776</v>
      </c>
      <c r="H50" s="94" cm="1">
        <f t="array" ref="H50">IF(A50&lt;=DATE2,SUM(IF((INDEX(INDICES,,1)=A50)*(INDEX(INDICES,5,)=indice_compo_max2),INDEX(INDICES,,),0)),"")</f>
        <v>66.285983399069863</v>
      </c>
      <c r="I50" s="90"/>
      <c r="J50" s="90"/>
      <c r="L50" t="str">
        <v>Produits sidérurgiques en acier non allié</v>
      </c>
      <c r="M50" s="91">
        <v>0</v>
      </c>
      <c r="N50" t="str">
        <v>Peintures Industries</v>
      </c>
      <c r="O50">
        <v>0</v>
      </c>
      <c r="P50" s="90"/>
      <c r="Q50">
        <v>10763881</v>
      </c>
      <c r="R50" t="str">
        <v>Produits sidérurgiques en acier non allié</v>
      </c>
      <c r="S50" s="4">
        <v>0.19768239861949954</v>
      </c>
      <c r="T50" s="90"/>
    </row>
    <row r="51" spans="1:21">
      <c r="A51" s="95">
        <f t="shared" si="1"/>
        <v>44166</v>
      </c>
      <c r="B51" s="94" cm="1">
        <f t="array" ref="B51">IF(A51&lt;=DATE2,SUM(IF((INDEX(INDEX,,1)=A51)*(INDEX(INDEX,3,)="TP01"),INDEX(INDEX,,),0)),"")</f>
        <v>109.8</v>
      </c>
      <c r="C51" s="94" cm="1">
        <f t="array" ref="C51">IF(A51&lt;=DATE2,SUM(IF((INDEX(INDEX,,1)=A51)*(INDEX(INDEX,3,)=index_choisi),INDEX(INDEX,,),0)),"")</f>
        <v>114.9</v>
      </c>
      <c r="D51" s="94" cm="1">
        <f t="array" ref="D51">IF(A51&lt;=DATE2,SUM(IF((INDEX(INDICES,,1)=A51)*(INDEX(INDICES,5,)="Matériel"),INDEX(INDICES,,),0)),"")</f>
        <v>104.4</v>
      </c>
      <c r="E51" s="94" cm="1">
        <f t="array" ref="E51">IF(A51&lt;=DATE2,SUM(IF((INDEX(INDICES,,1)=A51)*(INDEX(INDICES,5,)="Travail"),INDEX(INDICES,,),0)),"")</f>
        <v>123.4</v>
      </c>
      <c r="F51" s="94" cm="1">
        <f t="array" ref="F51">IF(A51&lt;=DATE2,SUM(IF((INDEX(INDICES,,1)=A51)*(INDEX(INDICES,5,)="GNR pour les Travaux Publics"),INDEX(INDICES,,),0)),"")</f>
        <v>81.2</v>
      </c>
      <c r="G51" s="94" cm="1">
        <f t="array" ref="G51">IF(A51&lt;=DATE2,SUM(IF((INDEX(INDICES,,1)=A51)*(INDEX(INDICES,5,)=indice_compo_max),INDEX(INDICES,,),0)),"")</f>
        <v>98.420755781161873</v>
      </c>
      <c r="H51" s="94" cm="1">
        <f t="array" ref="H51">IF(A51&lt;=DATE2,SUM(IF((INDEX(INDICES,,1)=A51)*(INDEX(INDICES,5,)=indice_compo_max2),INDEX(INDICES,,),0)),"")</f>
        <v>68.346382527815379</v>
      </c>
      <c r="L51" t="str">
        <v>Tôles quarto et autres produits plats en aciers non alliés de qualité</v>
      </c>
      <c r="M51">
        <v>0</v>
      </c>
      <c r="N51" t="str">
        <v>Produits sidérurgiques en acier non allié</v>
      </c>
      <c r="O51">
        <v>0</v>
      </c>
      <c r="Q51">
        <v>10765839</v>
      </c>
      <c r="R51" t="str">
        <v>Tôles quarto et autres produits plats en aciers non alliés de qualité</v>
      </c>
      <c r="S51" s="4">
        <v>0.30580837343599621</v>
      </c>
    </row>
    <row r="52" spans="1:21">
      <c r="A52" s="95">
        <f t="shared" si="1"/>
        <v>44197</v>
      </c>
      <c r="B52" s="94" cm="1">
        <f t="array" ref="B52">IF(A52&lt;=DATE2,SUM(IF((INDEX(INDEX,,1)=A52)*(INDEX(INDEX,3,)="TP01"),INDEX(INDEX,,),0)),"")</f>
        <v>111.2</v>
      </c>
      <c r="C52" s="94" cm="1">
        <f t="array" ref="C52">IF(A52&lt;=DATE2,SUM(IF((INDEX(INDEX,,1)=A52)*(INDEX(INDEX,3,)=index_choisi),INDEX(INDEX,,),0)),"")</f>
        <v>116.3</v>
      </c>
      <c r="D52" s="94" cm="1">
        <f t="array" ref="D52">IF(A52&lt;=DATE2,SUM(IF((INDEX(INDICES,,1)=A52)*(INDEX(INDICES,5,)="Matériel"),INDEX(INDICES,,),0)),"")</f>
        <v>104.5</v>
      </c>
      <c r="E52" s="94" cm="1">
        <f t="array" ref="E52">IF(A52&lt;=DATE2,SUM(IF((INDEX(INDICES,,1)=A52)*(INDEX(INDICES,5,)="Travail"),INDEX(INDICES,,),0)),"")</f>
        <v>123.4</v>
      </c>
      <c r="F52" s="94" cm="1">
        <f t="array" ref="F52">IF(A52&lt;=DATE2,SUM(IF((INDEX(INDICES,,1)=A52)*(INDEX(INDICES,5,)="GNR pour les Travaux Publics"),INDEX(INDICES,,),0)),"")</f>
        <v>86.4</v>
      </c>
      <c r="G52" s="94" cm="1">
        <f t="array" ref="G52">IF(A52&lt;=DATE2,SUM(IF((INDEX(INDICES,,1)=A52)*(INDEX(INDICES,5,)=indice_compo_max),INDEX(INDICES,,),0)),"")</f>
        <v>99.454784733972545</v>
      </c>
      <c r="H52" s="94" cm="1">
        <f t="array" ref="H52">IF(A52&lt;=DATE2,SUM(IF((INDEX(INDICES,,1)=A52)*(INDEX(INDICES,5,)=indice_compo_max2),INDEX(INDICES,,),0)),"")</f>
        <v>77.000058868546532</v>
      </c>
      <c r="L52" t="str">
        <v>Éléments en métal pour la construction</v>
      </c>
      <c r="M52">
        <v>0</v>
      </c>
      <c r="N52" t="str">
        <v>Tôles quarto et autres produits plats en aciers non alliés de qualité</v>
      </c>
      <c r="O52">
        <v>0</v>
      </c>
      <c r="Q52">
        <v>10764306</v>
      </c>
      <c r="R52" t="str">
        <v>Traitement et élimination des déchets non dangereux</v>
      </c>
      <c r="S52" s="4">
        <v>0.32819641170915959</v>
      </c>
    </row>
    <row r="53" spans="1:21">
      <c r="A53" s="95">
        <f t="shared" si="1"/>
        <v>44228</v>
      </c>
      <c r="B53" s="94" cm="1">
        <f t="array" ref="B53">IF(A53&lt;=DATE2,SUM(IF((INDEX(INDEX,,1)=A53)*(INDEX(INDEX,3,)="TP01"),INDEX(INDEX,,),0)),"")</f>
        <v>112.1</v>
      </c>
      <c r="C53" s="94" cm="1">
        <f t="array" ref="C53">IF(A53&lt;=DATE2,SUM(IF((INDEX(INDEX,,1)=A53)*(INDEX(INDEX,3,)=index_choisi),INDEX(INDEX,,),0)),"")</f>
        <v>117.2</v>
      </c>
      <c r="D53" s="94" cm="1">
        <f t="array" ref="D53">IF(A53&lt;=DATE2,SUM(IF((INDEX(INDICES,,1)=A53)*(INDEX(INDICES,5,)="Matériel"),INDEX(INDICES,,),0)),"")</f>
        <v>104.5</v>
      </c>
      <c r="E53" s="94" cm="1">
        <f t="array" ref="E53">IF(A53&lt;=DATE2,SUM(IF((INDEX(INDICES,,1)=A53)*(INDEX(INDICES,5,)="Travail"),INDEX(INDICES,,),0)),"")</f>
        <v>123.3</v>
      </c>
      <c r="F53" s="94" cm="1">
        <f t="array" ref="F53">IF(A53&lt;=DATE2,SUM(IF((INDEX(INDICES,,1)=A53)*(INDEX(INDICES,5,)="GNR pour les Travaux Publics"),INDEX(INDICES,,),0)),"")</f>
        <v>92.3</v>
      </c>
      <c r="G53" s="94" cm="1">
        <f t="array" ref="G53">IF(A53&lt;=DATE2,SUM(IF((INDEX(INDICES,,1)=A53)*(INDEX(INDICES,5,)=indice_compo_max),INDEX(INDICES,,),0)),"")</f>
        <v>99.548787366046241</v>
      </c>
      <c r="H53" s="94" cm="1">
        <f t="array" ref="H53">IF(A53&lt;=DATE2,SUM(IF((INDEX(INDICES,,1)=A53)*(INDEX(INDICES,5,)=indice_compo_max2),INDEX(INDICES,,),0)),"")</f>
        <v>81.945016777535756</v>
      </c>
      <c r="L53" t="str">
        <v>Restaurants et hôtels</v>
      </c>
      <c r="M53">
        <v>0</v>
      </c>
      <c r="N53" t="str">
        <v>Éléments en métal pour la construction</v>
      </c>
      <c r="O53">
        <v>0</v>
      </c>
      <c r="Q53">
        <v>10764301</v>
      </c>
      <c r="R53" t="str">
        <v>Collecte, traitement et élimination des déchets ; récupération de matériaux</v>
      </c>
      <c r="S53" s="4">
        <v>0.33115523535062463</v>
      </c>
    </row>
    <row r="54" spans="1:21">
      <c r="A54" s="95">
        <f t="shared" si="1"/>
        <v>44256</v>
      </c>
      <c r="B54" s="94" cm="1">
        <f t="array" ref="B54">IF(A54&lt;=DATE2,SUM(IF((INDEX(INDEX,,1)=A54)*(INDEX(INDEX,3,)="TP01"),INDEX(INDEX,,),0)),"")</f>
        <v>113.5</v>
      </c>
      <c r="C54" s="94" cm="1">
        <f t="array" ref="C54">IF(A54&lt;=DATE2,SUM(IF((INDEX(INDEX,,1)=A54)*(INDEX(INDEX,3,)=index_choisi),INDEX(INDEX,,),0)),"")</f>
        <v>118.3</v>
      </c>
      <c r="D54" s="94" cm="1">
        <f t="array" ref="D54">IF(A54&lt;=DATE2,SUM(IF((INDEX(INDICES,,1)=A54)*(INDEX(INDICES,5,)="Matériel"),INDEX(INDICES,,),0)),"")</f>
        <v>107.6</v>
      </c>
      <c r="E54" s="94" cm="1">
        <f t="array" ref="E54">IF(A54&lt;=DATE2,SUM(IF((INDEX(INDICES,,1)=A54)*(INDEX(INDICES,5,)="Travail"),INDEX(INDICES,,),0)),"")</f>
        <v>123.3</v>
      </c>
      <c r="F54" s="94" cm="1">
        <f t="array" ref="F54">IF(A54&lt;=DATE2,SUM(IF((INDEX(INDICES,,1)=A54)*(INDEX(INDICES,5,)="GNR pour les Travaux Publics"),INDEX(INDICES,,),0)),"")</f>
        <v>94.9</v>
      </c>
      <c r="G54" s="94" cm="1">
        <f t="array" ref="G54">IF(A54&lt;=DATE2,SUM(IF((INDEX(INDICES,,1)=A54)*(INDEX(INDICES,5,)=indice_compo_max),INDEX(INDICES,,),0)),"")</f>
        <v>99.830795262267344</v>
      </c>
      <c r="H54" s="94" cm="1">
        <f t="array" ref="H54">IF(A54&lt;=DATE2,SUM(IF((INDEX(INDICES,,1)=A54)*(INDEX(INDICES,5,)=indice_compo_max2),INDEX(INDICES,,),0)),"")</f>
        <v>85.123918290457397</v>
      </c>
      <c r="L54" t="str">
        <v>Traitement et élimination des déchets non dangereux</v>
      </c>
      <c r="M54">
        <v>0.01</v>
      </c>
      <c r="N54" t="str">
        <v>Restaurants et hôtels</v>
      </c>
      <c r="O54">
        <v>0</v>
      </c>
      <c r="Q54">
        <v>0</v>
      </c>
      <c r="R54">
        <v>0</v>
      </c>
      <c r="S54" s="4">
        <v>0</v>
      </c>
    </row>
    <row r="55" spans="1:21">
      <c r="A55" s="95">
        <f t="shared" si="1"/>
        <v>44287</v>
      </c>
      <c r="B55" s="94" cm="1">
        <f t="array" ref="B55">IF(A55&lt;=DATE2,SUM(IF((INDEX(INDEX,,1)=A55)*(INDEX(INDEX,3,)="TP01"),INDEX(INDEX,,),0)),"")</f>
        <v>113.8</v>
      </c>
      <c r="C55" s="94" cm="1">
        <f t="array" ref="C55">IF(A55&lt;=DATE2,SUM(IF((INDEX(INDEX,,1)=A55)*(INDEX(INDEX,3,)=index_choisi),INDEX(INDEX,,),0)),"")</f>
        <v>118.9</v>
      </c>
      <c r="D55" s="94" cm="1">
        <f t="array" ref="D55">IF(A55&lt;=DATE2,SUM(IF((INDEX(INDICES,,1)=A55)*(INDEX(INDICES,5,)="Matériel"),INDEX(INDICES,,),0)),"")</f>
        <v>107.8</v>
      </c>
      <c r="E55" s="94" cm="1">
        <f t="array" ref="E55">IF(A55&lt;=DATE2,SUM(IF((INDEX(INDICES,,1)=A55)*(INDEX(INDICES,5,)="Travail"),INDEX(INDICES,,),0)),"")</f>
        <v>123</v>
      </c>
      <c r="F55" s="94" cm="1">
        <f t="array" ref="F55">IF(A55&lt;=DATE2,SUM(IF((INDEX(INDICES,,1)=A55)*(INDEX(INDICES,5,)="GNR pour les Travaux Publics"),INDEX(INDICES,,),0)),"")</f>
        <v>92.2</v>
      </c>
      <c r="G55" s="94" cm="1">
        <f t="array" ref="G55">IF(A55&lt;=DATE2,SUM(IF((INDEX(INDICES,,1)=A55)*(INDEX(INDICES,5,)=indice_compo_max),INDEX(INDICES,,),0)),"")</f>
        <v>100.01880052641474</v>
      </c>
      <c r="H55" s="94" cm="1">
        <f t="array" ref="H55">IF(A55&lt;=DATE2,SUM(IF((INDEX(INDICES,,1)=A55)*(INDEX(INDICES,5,)=indice_compo_max2),INDEX(INDICES,,),0)),"")</f>
        <v>87.949608524165541</v>
      </c>
      <c r="L55" t="str">
        <v>Collecte, traitement et élimination des déchets ; récupération de matériaux</v>
      </c>
      <c r="M55">
        <v>0</v>
      </c>
      <c r="N55" t="str">
        <v>Collecte, traitement et élimination des déchets ; récupération de matériaux</v>
      </c>
      <c r="O55">
        <v>0</v>
      </c>
      <c r="Q55">
        <v>0</v>
      </c>
      <c r="R55">
        <v>0</v>
      </c>
      <c r="S55">
        <v>0</v>
      </c>
    </row>
    <row r="56" spans="1:21">
      <c r="A56" s="95">
        <f t="shared" si="1"/>
        <v>44317</v>
      </c>
      <c r="B56" s="94" cm="1">
        <f t="array" ref="B56">IF(A56&lt;=DATE2,SUM(IF((INDEX(INDEX,,1)=A56)*(INDEX(INDEX,3,)="TP01"),INDEX(INDEX,,),0)),"")</f>
        <v>114</v>
      </c>
      <c r="C56" s="94" cm="1">
        <f t="array" ref="C56">IF(A56&lt;=DATE2,SUM(IF((INDEX(INDEX,,1)=A56)*(INDEX(INDEX,3,)=index_choisi),INDEX(INDEX,,),0)),"")</f>
        <v>119</v>
      </c>
      <c r="D56" s="94" cm="1">
        <f t="array" ref="D56">IF(A56&lt;=DATE2,SUM(IF((INDEX(INDICES,,1)=A56)*(INDEX(INDICES,5,)="Matériel"),INDEX(INDICES,,),0)),"")</f>
        <v>107.2</v>
      </c>
      <c r="E56" s="94" cm="1">
        <f t="array" ref="E56">IF(A56&lt;=DATE2,SUM(IF((INDEX(INDICES,,1)=A56)*(INDEX(INDICES,5,)="Travail"),INDEX(INDICES,,),0)),"")</f>
        <v>122.7</v>
      </c>
      <c r="F56" s="94" cm="1">
        <f t="array" ref="F56">IF(A56&lt;=DATE2,SUM(IF((INDEX(INDICES,,1)=A56)*(INDEX(INDICES,5,)="GNR pour les Travaux Publics"),INDEX(INDICES,,),0)),"")</f>
        <v>95.3</v>
      </c>
      <c r="G56" s="94" cm="1">
        <f t="array" ref="G56">IF(A56&lt;=DATE2,SUM(IF((INDEX(INDICES,,1)=A56)*(INDEX(INDICES,5,)=indice_compo_max),INDEX(INDICES,,),0)),"")</f>
        <v>99.642789998119937</v>
      </c>
      <c r="H56" s="94" cm="1">
        <f t="array" ref="H56">IF(A56&lt;=DATE2,SUM(IF((INDEX(INDICES,,1)=A56)*(INDEX(INDICES,5,)=indice_compo_max2),INDEX(INDICES,,),0)),"")</f>
        <v>90.363218932124568</v>
      </c>
    </row>
    <row r="57" spans="1:21">
      <c r="A57" s="95">
        <f t="shared" si="1"/>
        <v>44348</v>
      </c>
      <c r="B57" s="94" cm="1">
        <f t="array" ref="B57">IF(A57&lt;=DATE2,SUM(IF((INDEX(INDEX,,1)=A57)*(INDEX(INDEX,3,)="TP01"),INDEX(INDEX,,),0)),"")</f>
        <v>114.8</v>
      </c>
      <c r="C57" s="94" cm="1">
        <f t="array" ref="C57">IF(A57&lt;=DATE2,SUM(IF((INDEX(INDEX,,1)=A57)*(INDEX(INDEX,3,)=index_choisi),INDEX(INDEX,,),0)),"")</f>
        <v>120.8</v>
      </c>
      <c r="D57" s="94" cm="1">
        <f t="array" ref="D57">IF(A57&lt;=DATE2,SUM(IF((INDEX(INDICES,,1)=A57)*(INDEX(INDICES,5,)="Matériel"),INDEX(INDICES,,),0)),"")</f>
        <v>107.8</v>
      </c>
      <c r="E57" s="94" cm="1">
        <f t="array" ref="E57">IF(A57&lt;=DATE2,SUM(IF((INDEX(INDICES,,1)=A57)*(INDEX(INDICES,5,)="Travail"),INDEX(INDICES,,),0)),"")</f>
        <v>122.5</v>
      </c>
      <c r="F57" s="94" cm="1">
        <f t="array" ref="F57">IF(A57&lt;=DATE2,SUM(IF((INDEX(INDICES,,1)=A57)*(INDEX(INDICES,5,)="GNR pour les Travaux Publics"),INDEX(INDICES,,),0)),"")</f>
        <v>97.5</v>
      </c>
      <c r="G57" s="94" cm="1">
        <f t="array" ref="G57">IF(A57&lt;=DATE2,SUM(IF((INDEX(INDICES,,1)=A57)*(INDEX(INDICES,5,)=indice_compo_max),INDEX(INDICES,,),0)),"")</f>
        <v>99.266779469825138</v>
      </c>
      <c r="H57" s="94" cm="1">
        <f t="array" ref="H57">IF(A57&lt;=DATE2,SUM(IF((INDEX(INDICES,,1)=A57)*(INDEX(INDICES,5,)=indice_compo_max2),INDEX(INDICES,,),0)),"")</f>
        <v>98.722552540177773</v>
      </c>
    </row>
    <row r="58" spans="1:21">
      <c r="A58" s="95">
        <f t="shared" si="1"/>
        <v>44378</v>
      </c>
      <c r="B58" s="94" cm="1">
        <f t="array" ref="B58">IF(A58&lt;=DATE2,SUM(IF((INDEX(INDEX,,1)=A58)*(INDEX(INDEX,3,)="TP01"),INDEX(INDEX,,),0)),"")</f>
        <v>115.9</v>
      </c>
      <c r="C58" s="94" cm="1">
        <f t="array" ref="C58">IF(A58&lt;=DATE2,SUM(IF((INDEX(INDEX,,1)=A58)*(INDEX(INDEX,3,)=index_choisi),INDEX(INDEX,,),0)),"")</f>
        <v>122.7</v>
      </c>
      <c r="D58" s="94" cm="1">
        <f t="array" ref="D58">IF(A58&lt;=DATE2,SUM(IF((INDEX(INDICES,,1)=A58)*(INDEX(INDICES,5,)="Matériel"),INDEX(INDICES,,),0)),"")</f>
        <v>108.3</v>
      </c>
      <c r="E58" s="94" cm="1">
        <f t="array" ref="E58">IF(A58&lt;=DATE2,SUM(IF((INDEX(INDICES,,1)=A58)*(INDEX(INDICES,5,)="Travail"),INDEX(INDICES,,),0)),"")</f>
        <v>122.5</v>
      </c>
      <c r="F58" s="94" cm="1">
        <f t="array" ref="F58">IF(A58&lt;=DATE2,SUM(IF((INDEX(INDICES,,1)=A58)*(INDEX(INDICES,5,)="GNR pour les Travaux Publics"),INDEX(INDICES,,),0)),"")</f>
        <v>99.5</v>
      </c>
      <c r="G58" s="94" cm="1">
        <f t="array" ref="G58">IF(A58&lt;=DATE2,SUM(IF((INDEX(INDICES,,1)=A58)*(INDEX(INDICES,5,)=indice_compo_max),INDEX(INDICES,,),0)),"")</f>
        <v>100.30080842263582</v>
      </c>
      <c r="H58" s="94" cm="1">
        <f t="array" ref="H58">IF(A58&lt;=DATE2,SUM(IF((INDEX(INDICES,,1)=A58)*(INDEX(INDICES,5,)=indice_compo_max2),INDEX(INDICES,,),0)),"")</f>
        <v>109.31889091658326</v>
      </c>
    </row>
    <row r="59" spans="1:21">
      <c r="A59" s="95">
        <f t="shared" si="1"/>
        <v>44409</v>
      </c>
      <c r="B59" s="94" cm="1">
        <f t="array" ref="B59">IF(A59&lt;=DATE2,SUM(IF((INDEX(INDEX,,1)=A59)*(INDEX(INDEX,3,)="TP01"),INDEX(INDEX,,),0)),"")</f>
        <v>116.1</v>
      </c>
      <c r="C59" s="94" cm="1">
        <f t="array" ref="C59">IF(A59&lt;=DATE2,SUM(IF((INDEX(INDEX,,1)=A59)*(INDEX(INDEX,3,)=index_choisi),INDEX(INDEX,,),0)),"")</f>
        <v>123.1</v>
      </c>
      <c r="D59" s="94" cm="1">
        <f t="array" ref="D59">IF(A59&lt;=DATE2,SUM(IF((INDEX(INDICES,,1)=A59)*(INDEX(INDICES,5,)="Matériel"),INDEX(INDICES,,),0)),"")</f>
        <v>108.2</v>
      </c>
      <c r="E59" s="94" cm="1">
        <f t="array" ref="E59">IF(A59&lt;=DATE2,SUM(IF((INDEX(INDICES,,1)=A59)*(INDEX(INDICES,5,)="Travail"),INDEX(INDICES,,),0)),"")</f>
        <v>122.6</v>
      </c>
      <c r="F59" s="94" cm="1">
        <f t="array" ref="F59">IF(A59&lt;=DATE2,SUM(IF((INDEX(INDICES,,1)=A59)*(INDEX(INDICES,5,)="GNR pour les Travaux Publics"),INDEX(INDICES,,),0)),"")</f>
        <v>98.2</v>
      </c>
      <c r="G59" s="94" cm="1">
        <f t="array" ref="G59">IF(A59&lt;=DATE2,SUM(IF((INDEX(INDICES,,1)=A59)*(INDEX(INDICES,5,)=indice_compo_max),INDEX(INDICES,,),0)),"")</f>
        <v>101.80485053581499</v>
      </c>
      <c r="H59" s="94" cm="1">
        <f t="array" ref="H59">IF(A59&lt;=DATE2,SUM(IF((INDEX(INDICES,,1)=A59)*(INDEX(INDICES,5,)=indice_compo_max2),INDEX(INDICES,,),0)),"")</f>
        <v>112.85100370871842</v>
      </c>
    </row>
    <row r="60" spans="1:21">
      <c r="A60" s="95">
        <f t="shared" si="1"/>
        <v>44440</v>
      </c>
      <c r="B60" s="94" cm="1">
        <f t="array" ref="B60">IF(A60&lt;=DATE2,SUM(IF((INDEX(INDEX,,1)=A60)*(INDEX(INDEX,3,)="TP01"),INDEX(INDEX,,),0)),"")</f>
        <v>116.4</v>
      </c>
      <c r="C60" s="94" cm="1">
        <f t="array" ref="C60">IF(A60&lt;=DATE2,SUM(IF((INDEX(INDEX,,1)=A60)*(INDEX(INDEX,3,)=index_choisi),INDEX(INDEX,,),0)),"")</f>
        <v>123.7</v>
      </c>
      <c r="D60" s="94" cm="1">
        <f t="array" ref="D60">IF(A60&lt;=DATE2,SUM(IF((INDEX(INDICES,,1)=A60)*(INDEX(INDICES,5,)="Matériel"),INDEX(INDICES,,),0)),"")</f>
        <v>108.6</v>
      </c>
      <c r="E60" s="94" cm="1">
        <f t="array" ref="E60">IF(A60&lt;=DATE2,SUM(IF((INDEX(INDICES,,1)=A60)*(INDEX(INDICES,5,)="Travail"),INDEX(INDICES,,),0)),"")</f>
        <v>122.7</v>
      </c>
      <c r="F60" s="94" cm="1">
        <f t="array" ref="F60">IF(A60&lt;=DATE2,SUM(IF((INDEX(INDICES,,1)=A60)*(INDEX(INDICES,5,)="GNR pour les Travaux Publics"),INDEX(INDICES,,),0)),"")</f>
        <v>101.9</v>
      </c>
      <c r="G60" s="94" cm="1">
        <f t="array" ref="G60">IF(A60&lt;=DATE2,SUM(IF((INDEX(INDICES,,1)=A60)*(INDEX(INDICES,5,)=indice_compo_max),INDEX(INDICES,,),0)),"")</f>
        <v>99.172776837751456</v>
      </c>
      <c r="H60" s="94" cm="1">
        <f t="array" ref="H60">IF(A60&lt;=DATE2,SUM(IF((INDEX(INDICES,,1)=A60)*(INDEX(INDICES,5,)=indice_compo_max2),INDEX(INDICES,,),0)),"")</f>
        <v>115.79443103549772</v>
      </c>
    </row>
    <row r="61" spans="1:21">
      <c r="A61" s="95">
        <f t="shared" si="1"/>
        <v>44470</v>
      </c>
      <c r="B61" s="94" cm="1">
        <f t="array" ref="B61">IF(A61&lt;=DATE2,SUM(IF((INDEX(INDEX,,1)=A61)*(INDEX(INDEX,3,)="TP01"),INDEX(INDEX,,),0)),"")</f>
        <v>117.5</v>
      </c>
      <c r="C61" s="94" cm="1">
        <f t="array" ref="C61">IF(A61&lt;=DATE2,SUM(IF((INDEX(INDEX,,1)=A61)*(INDEX(INDEX,3,)=index_choisi),INDEX(INDEX,,),0)),"")</f>
        <v>123.6</v>
      </c>
      <c r="D61" s="94" cm="1">
        <f t="array" ref="D61">IF(A61&lt;=DATE2,SUM(IF((INDEX(INDICES,,1)=A61)*(INDEX(INDICES,5,)="Matériel"),INDEX(INDICES,,),0)),"")</f>
        <v>109</v>
      </c>
      <c r="E61" s="94" cm="1">
        <f t="array" ref="E61">IF(A61&lt;=DATE2,SUM(IF((INDEX(INDICES,,1)=A61)*(INDEX(INDICES,5,)="Travail"),INDEX(INDICES,,),0)),"")</f>
        <v>122.6</v>
      </c>
      <c r="F61" s="94" cm="1">
        <f t="array" ref="F61">IF(A61&lt;=DATE2,SUM(IF((INDEX(INDICES,,1)=A61)*(INDEX(INDICES,5,)="GNR pour les Travaux Publics"),INDEX(INDICES,,),0)),"")</f>
        <v>113.9</v>
      </c>
      <c r="G61" s="94" cm="1">
        <f t="array" ref="G61">IF(A61&lt;=DATE2,SUM(IF((INDEX(INDICES,,1)=A61)*(INDEX(INDICES,5,)=indice_compo_max),INDEX(INDICES,,),0)),"")</f>
        <v>100.01880052641474</v>
      </c>
      <c r="H61" s="94" cm="1">
        <f t="array" ref="H61">IF(A61&lt;=DATE2,SUM(IF((INDEX(INDICES,,1)=A61)*(INDEX(INDICES,5,)=indice_compo_max2),INDEX(INDICES,,),0)),"")</f>
        <v>113.61629481368104</v>
      </c>
    </row>
    <row r="62" spans="1:21">
      <c r="A62" s="95">
        <f t="shared" si="1"/>
        <v>44501</v>
      </c>
      <c r="B62" s="94" cm="1">
        <f t="array" ref="B62">IF(A62&lt;=DATE2,SUM(IF((INDEX(INDEX,,1)=A62)*(INDEX(INDEX,3,)="TP01"),INDEX(INDEX,,),0)),"")</f>
        <v>118.8</v>
      </c>
      <c r="C62" s="94" cm="1">
        <f t="array" ref="C62">IF(A62&lt;=DATE2,SUM(IF((INDEX(INDEX,,1)=A62)*(INDEX(INDEX,3,)=index_choisi),INDEX(INDEX,,),0)),"")</f>
        <v>124</v>
      </c>
      <c r="D62" s="94" cm="1">
        <f t="array" ref="D62">IF(A62&lt;=DATE2,SUM(IF((INDEX(INDICES,,1)=A62)*(INDEX(INDICES,5,)="Matériel"),INDEX(INDICES,,),0)),"")</f>
        <v>109.1</v>
      </c>
      <c r="E62" s="94" cm="1">
        <f t="array" ref="E62">IF(A62&lt;=DATE2,SUM(IF((INDEX(INDICES,,1)=A62)*(INDEX(INDICES,5,)="Travail"),INDEX(INDICES,,),0)),"")</f>
        <v>122.5</v>
      </c>
      <c r="F62" s="94" cm="1">
        <f t="array" ref="F62">IF(A62&lt;=DATE2,SUM(IF((INDEX(INDICES,,1)=A62)*(INDEX(INDICES,5,)="GNR pour les Travaux Publics"),INDEX(INDICES,,),0)),"")</f>
        <v>115.4</v>
      </c>
      <c r="G62" s="94" cm="1">
        <f t="array" ref="G62">IF(A62&lt;=DATE2,SUM(IF((INDEX(INDICES,,1)=A62)*(INDEX(INDICES,5,)=indice_compo_max),INDEX(INDICES,,),0)),"")</f>
        <v>100.58281631885691</v>
      </c>
      <c r="H62" s="94" cm="1">
        <f t="array" ref="H62">IF(A62&lt;=DATE2,SUM(IF((INDEX(INDICES,,1)=A62)*(INDEX(INDICES,5,)=indice_compo_max2),INDEX(INDICES,,),0)),"")</f>
        <v>113.91063754635897</v>
      </c>
    </row>
    <row r="63" spans="1:21">
      <c r="A63" s="95">
        <f t="shared" si="1"/>
        <v>44531</v>
      </c>
      <c r="B63" s="94" cm="1">
        <f t="array" ref="B63">IF(A63&lt;=DATE2,SUM(IF((INDEX(INDEX,,1)=A63)*(INDEX(INDEX,3,)="TP01"),INDEX(INDEX,,),0)),"")</f>
        <v>118.2</v>
      </c>
      <c r="C63" s="94" cm="1">
        <f t="array" ref="C63">IF(A63&lt;=DATE2,SUM(IF((INDEX(INDEX,,1)=A63)*(INDEX(INDEX,3,)=index_choisi),INDEX(INDEX,,),0)),"")</f>
        <v>124.4</v>
      </c>
      <c r="D63" s="94" cm="1">
        <f t="array" ref="D63">IF(A63&lt;=DATE2,SUM(IF((INDEX(INDICES,,1)=A63)*(INDEX(INDICES,5,)="Matériel"),INDEX(INDICES,,),0)),"")</f>
        <v>109.4</v>
      </c>
      <c r="E63" s="94" cm="1">
        <f t="array" ref="E63">IF(A63&lt;=DATE2,SUM(IF((INDEX(INDICES,,1)=A63)*(INDEX(INDICES,5,)="Travail"),INDEX(INDICES,,),0)),"")</f>
        <v>122.4</v>
      </c>
      <c r="F63" s="94" cm="1">
        <f t="array" ref="F63">IF(A63&lt;=DATE2,SUM(IF((INDEX(INDICES,,1)=A63)*(INDEX(INDICES,5,)="GNR pour les Travaux Publics"),INDEX(INDICES,,),0)),"")</f>
        <v>112.6</v>
      </c>
      <c r="G63" s="94" cm="1">
        <f t="array" ref="G63">IF(A63&lt;=DATE2,SUM(IF((INDEX(INDICES,,1)=A63)*(INDEX(INDICES,5,)=indice_compo_max),INDEX(INDICES,,),0)),"")</f>
        <v>100.48881368678323</v>
      </c>
      <c r="H63" s="94" cm="1">
        <f t="array" ref="H63">IF(A63&lt;=DATE2,SUM(IF((INDEX(INDICES,,1)=A63)*(INDEX(INDICES,5,)=indice_compo_max2),INDEX(INDICES,,),0)),"")</f>
        <v>113.3808206275387</v>
      </c>
    </row>
    <row r="64" spans="1:21">
      <c r="A64" s="95">
        <f t="shared" si="1"/>
        <v>44562</v>
      </c>
      <c r="B64" s="94" cm="1">
        <f t="array" ref="B64">IF(A64&lt;=DATE2,SUM(IF((INDEX(INDEX,,1)=A64)*(INDEX(INDEX,3,)="TP01"),INDEX(INDEX,,),0)),"")</f>
        <v>119.9</v>
      </c>
      <c r="C64" s="94" cm="1">
        <f t="array" ref="C64">IF(A64&lt;=DATE2,SUM(IF((INDEX(INDEX,,1)=A64)*(INDEX(INDEX,3,)=index_choisi),INDEX(INDEX,,),0)),"")</f>
        <v>125.3</v>
      </c>
      <c r="D64" s="94" cm="1">
        <f t="array" ref="D64">IF(A64&lt;=DATE2,SUM(IF((INDEX(INDICES,,1)=A64)*(INDEX(INDICES,5,)="Matériel"),INDEX(INDICES,,),0)),"")</f>
        <v>110.8</v>
      </c>
      <c r="E64" s="94" cm="1">
        <f t="array" ref="E64">IF(A64&lt;=DATE2,SUM(IF((INDEX(INDICES,,1)=A64)*(INDEX(INDICES,5,)="Travail"),INDEX(INDICES,,),0)),"")</f>
        <v>122.6</v>
      </c>
      <c r="F64" s="94" cm="1">
        <f t="array" ref="F64">IF(A64&lt;=DATE2,SUM(IF((INDEX(INDICES,,1)=A64)*(INDEX(INDICES,5,)="GNR pour les Travaux Publics"),INDEX(INDICES,,),0)),"")</f>
        <v>122.5</v>
      </c>
      <c r="G64" s="94" cm="1">
        <f t="array" ref="G64">IF(A64&lt;=DATE2,SUM(IF((INDEX(INDICES,,1)=A64)*(INDEX(INDICES,5,)=indice_compo_max),INDEX(INDICES,,),0)),"")</f>
        <v>103.21489001692046</v>
      </c>
      <c r="H64" s="94" cm="1">
        <f t="array" ref="H64">IF(A64&lt;=DATE2,SUM(IF((INDEX(INDICES,,1)=A64)*(INDEX(INDICES,5,)=indice_compo_max2),INDEX(INDICES,,),0)),"")</f>
        <v>114.02837463943014</v>
      </c>
    </row>
    <row r="65" spans="1:8">
      <c r="A65" s="95">
        <f t="shared" si="1"/>
        <v>44593</v>
      </c>
      <c r="B65" s="94" cm="1">
        <f t="array" ref="B65">IF(A65&lt;=DATE2,SUM(IF((INDEX(INDEX,,1)=A65)*(INDEX(INDEX,3,)="TP01"),INDEX(INDEX,,),0)),"")</f>
        <v>121.3</v>
      </c>
      <c r="C65" s="94" cm="1">
        <f t="array" ref="C65">IF(A65&lt;=DATE2,SUM(IF((INDEX(INDEX,,1)=A65)*(INDEX(INDEX,3,)=index_choisi),INDEX(INDEX,,),0)),"")</f>
        <v>125.7</v>
      </c>
      <c r="D65" s="94" cm="1">
        <f t="array" ref="D65">IF(A65&lt;=DATE2,SUM(IF((INDEX(INDICES,,1)=A65)*(INDEX(INDICES,5,)="Matériel"),INDEX(INDICES,,),0)),"")</f>
        <v>111.3</v>
      </c>
      <c r="E65" s="94" cm="1">
        <f t="array" ref="E65">IF(A65&lt;=DATE2,SUM(IF((INDEX(INDICES,,1)=A65)*(INDEX(INDICES,5,)="Travail"),INDEX(INDICES,,),0)),"")</f>
        <v>122.8</v>
      </c>
      <c r="F65" s="94" cm="1">
        <f t="array" ref="F65">IF(A65&lt;=DATE2,SUM(IF((INDEX(INDICES,,1)=A65)*(INDEX(INDICES,5,)="GNR pour les Travaux Publics"),INDEX(INDICES,,),0)),"")</f>
        <v>131.4</v>
      </c>
      <c r="G65" s="94" cm="1">
        <f t="array" ref="G65">IF(A65&lt;=DATE2,SUM(IF((INDEX(INDICES,,1)=A65)*(INDEX(INDICES,5,)=indice_compo_max),INDEX(INDICES,,),0)),"")</f>
        <v>103.02688475277307</v>
      </c>
      <c r="H65" s="94" cm="1">
        <f t="array" ref="H65">IF(A65&lt;=DATE2,SUM(IF((INDEX(INDICES,,1)=A65)*(INDEX(INDICES,5,)=indice_compo_max2),INDEX(INDICES,,),0)),"")</f>
        <v>115.91216812856891</v>
      </c>
    </row>
    <row r="66" spans="1:8">
      <c r="A66" s="95">
        <f t="shared" si="1"/>
        <v>44621</v>
      </c>
      <c r="B66" s="94" cm="1">
        <f t="array" ref="B66">IF(A66&lt;=DATE2,SUM(IF((INDEX(INDEX,,1)=A66)*(INDEX(INDEX,3,)="TP01"),INDEX(INDEX,,),0)),"")</f>
        <v>124.7</v>
      </c>
      <c r="C66" s="94" cm="1">
        <f t="array" ref="C66">IF(A66&lt;=DATE2,SUM(IF((INDEX(INDEX,,1)=A66)*(INDEX(INDEX,3,)=index_choisi),INDEX(INDEX,,),0)),"")</f>
        <v>127.2</v>
      </c>
      <c r="D66" s="94" cm="1">
        <f t="array" ref="D66">IF(A66&lt;=DATE2,SUM(IF((INDEX(INDICES,,1)=A66)*(INDEX(INDICES,5,)="Matériel"),INDEX(INDICES,,),0)),"")</f>
        <v>111.1</v>
      </c>
      <c r="E66" s="94" cm="1">
        <f t="array" ref="E66">IF(A66&lt;=DATE2,SUM(IF((INDEX(INDICES,,1)=A66)*(INDEX(INDICES,5,)="Travail"),INDEX(INDICES,,),0)),"")</f>
        <v>123</v>
      </c>
      <c r="F66" s="94" cm="1">
        <f t="array" ref="F66">IF(A66&lt;=DATE2,SUM(IF((INDEX(INDICES,,1)=A66)*(INDEX(INDICES,5,)="GNR pour les Travaux Publics"),INDEX(INDICES,,),0)),"")</f>
        <v>176.2</v>
      </c>
      <c r="G66" s="94" cm="1">
        <f t="array" ref="G66">IF(A66&lt;=DATE2,SUM(IF((INDEX(INDICES,,1)=A66)*(INDEX(INDICES,5,)=indice_compo_max),INDEX(INDICES,,),0)),"")</f>
        <v>102.74487685655197</v>
      </c>
      <c r="H66" s="94" cm="1">
        <f t="array" ref="H66">IF(A66&lt;=DATE2,SUM(IF((INDEX(INDICES,,1)=A66)*(INDEX(INDICES,5,)=indice_compo_max2),INDEX(INDICES,,),0)),"")</f>
        <v>125.62547830694059</v>
      </c>
    </row>
    <row r="67" spans="1:8">
      <c r="A67" s="95">
        <f t="shared" si="1"/>
        <v>44652</v>
      </c>
      <c r="B67" s="94" cm="1">
        <f t="array" ref="B67">IF(A67&lt;=DATE2,SUM(IF((INDEX(INDEX,,1)=A67)*(INDEX(INDEX,3,)="TP01"),INDEX(INDEX,,),0)),"")</f>
        <v>126.6</v>
      </c>
      <c r="C67" s="94" cm="1">
        <f t="array" ref="C67">IF(A67&lt;=DATE2,SUM(IF((INDEX(INDEX,,1)=A67)*(INDEX(INDEX,3,)=index_choisi),INDEX(INDEX,,),0)),"")</f>
        <v>131</v>
      </c>
      <c r="D67" s="94" cm="1">
        <f t="array" ref="D67">IF(A67&lt;=DATE2,SUM(IF((INDEX(INDICES,,1)=A67)*(INDEX(INDICES,5,)="Matériel"),INDEX(INDICES,,),0)),"")</f>
        <v>113.4</v>
      </c>
      <c r="E67" s="94" cm="1">
        <f t="array" ref="E67">IF(A67&lt;=DATE2,SUM(IF((INDEX(INDICES,,1)=A67)*(INDEX(INDICES,5,)="Travail"),INDEX(INDICES,,),0)),"")</f>
        <v>123.2</v>
      </c>
      <c r="F67" s="94" cm="1">
        <f t="array" ref="F67">IF(A67&lt;=DATE2,SUM(IF((INDEX(INDICES,,1)=A67)*(INDEX(INDICES,5,)="GNR pour les Travaux Publics"),INDEX(INDICES,,),0)),"")</f>
        <v>147.69999999999999</v>
      </c>
      <c r="G67" s="94" cm="1">
        <f t="array" ref="G67">IF(A67&lt;=DATE2,SUM(IF((INDEX(INDICES,,1)=A67)*(INDEX(INDICES,5,)=indice_compo_max),INDEX(INDICES,,),0)),"")</f>
        <v>104.62492949802594</v>
      </c>
      <c r="H67" s="94" cm="1">
        <f t="array" ref="H67">IF(A67&lt;=DATE2,SUM(IF((INDEX(INDICES,,1)=A67)*(INDEX(INDICES,5,)=indice_compo_max2),INDEX(INDICES,,),0)),"")</f>
        <v>146.70041796668039</v>
      </c>
    </row>
    <row r="68" spans="1:8">
      <c r="A68" s="95">
        <f t="shared" si="1"/>
        <v>44682</v>
      </c>
      <c r="B68" s="94" cm="1">
        <f t="array" ref="B68">IF(A68&lt;=DATE2,SUM(IF((INDEX(INDEX,,1)=A68)*(INDEX(INDEX,3,)="TP01"),INDEX(INDEX,,),0)),"")</f>
        <v>127.3</v>
      </c>
      <c r="C68" s="94" cm="1">
        <f t="array" ref="C68">IF(A68&lt;=DATE2,SUM(IF((INDEX(INDEX,,1)=A68)*(INDEX(INDEX,3,)=index_choisi),INDEX(INDEX,,),0)),"")</f>
        <v>133.30000000000001</v>
      </c>
      <c r="D68" s="94" cm="1">
        <f t="array" ref="D68">IF(A68&lt;=DATE2,SUM(IF((INDEX(INDICES,,1)=A68)*(INDEX(INDICES,5,)="Matériel"),INDEX(INDICES,,),0)),"")</f>
        <v>113.2</v>
      </c>
      <c r="E68" s="94" cm="1">
        <f t="array" ref="E68">IF(A68&lt;=DATE2,SUM(IF((INDEX(INDICES,,1)=A68)*(INDEX(INDICES,5,)="Travail"),INDEX(INDICES,,),0)),"")</f>
        <v>123.5</v>
      </c>
      <c r="F68" s="94" cm="1">
        <f t="array" ref="F68">IF(A68&lt;=DATE2,SUM(IF((INDEX(INDICES,,1)=A68)*(INDEX(INDICES,5,)="GNR pour les Travaux Publics"),INDEX(INDICES,,),0)),"")</f>
        <v>148.19999999999999</v>
      </c>
      <c r="G68" s="94" cm="1">
        <f t="array" ref="G68">IF(A68&lt;=DATE2,SUM(IF((INDEX(INDICES,,1)=A68)*(INDEX(INDICES,5,)=indice_compo_max),INDEX(INDICES,,),0)),"")</f>
        <v>105.846963714984</v>
      </c>
      <c r="H68" s="94" cm="1">
        <f t="array" ref="H68">IF(A68&lt;=DATE2,SUM(IF((INDEX(INDICES,,1)=A68)*(INDEX(INDICES,5,)=indice_compo_max2),INDEX(INDICES,,),0)),"")</f>
        <v>159.35715547183139</v>
      </c>
    </row>
    <row r="69" spans="1:8">
      <c r="A69" s="95">
        <f t="shared" si="1"/>
        <v>44713</v>
      </c>
      <c r="B69" s="94" cm="1">
        <f t="array" ref="B69">IF(A69&lt;=DATE2,SUM(IF((INDEX(INDEX,,1)=A69)*(INDEX(INDEX,3,)="TP01"),INDEX(INDEX,,),0)),"")</f>
        <v>129.1</v>
      </c>
      <c r="C69" s="94" cm="1">
        <f t="array" ref="C69">IF(A69&lt;=DATE2,SUM(IF((INDEX(INDEX,,1)=A69)*(INDEX(INDEX,3,)=index_choisi),INDEX(INDEX,,),0)),"")</f>
        <v>132.19999999999999</v>
      </c>
      <c r="D69" s="94" cm="1">
        <f t="array" ref="D69">IF(A69&lt;=DATE2,SUM(IF((INDEX(INDICES,,1)=A69)*(INDEX(INDICES,5,)="Matériel"),INDEX(INDICES,,),0)),"")</f>
        <v>113.3</v>
      </c>
      <c r="E69" s="94" cm="1">
        <f t="array" ref="E69">IF(A69&lt;=DATE2,SUM(IF((INDEX(INDICES,,1)=A69)*(INDEX(INDICES,5,)="Travail"),INDEX(INDICES,,),0)),"")</f>
        <v>123.7</v>
      </c>
      <c r="F69" s="94" cm="1">
        <f t="array" ref="F69">IF(A69&lt;=DATE2,SUM(IF((INDEX(INDICES,,1)=A69)*(INDEX(INDICES,5,)="GNR pour les Travaux Publics"),INDEX(INDICES,,),0)),"")</f>
        <v>172.7</v>
      </c>
      <c r="G69" s="94" cm="1">
        <f t="array" ref="G69">IF(A69&lt;=DATE2,SUM(IF((INDEX(INDICES,,1)=A69)*(INDEX(INDICES,5,)=indice_compo_max),INDEX(INDICES,,),0)),"")</f>
        <v>105.28294792254182</v>
      </c>
      <c r="H69" s="94" cm="1">
        <f t="array" ref="H69">IF(A69&lt;=DATE2,SUM(IF((INDEX(INDICES,,1)=A69)*(INDEX(INDICES,5,)=indice_compo_max2),INDEX(INDICES,,),0)),"")</f>
        <v>150.88008477070701</v>
      </c>
    </row>
    <row r="70" spans="1:8">
      <c r="A70" s="95">
        <f t="shared" si="1"/>
        <v>44743</v>
      </c>
      <c r="B70" s="94" cm="1">
        <f t="array" ref="B70">IF(A70&lt;=DATE2,SUM(IF((INDEX(INDEX,,1)=A70)*(INDEX(INDEX,3,)="TP01"),INDEX(INDEX,,),0)),"")</f>
        <v>129.1</v>
      </c>
      <c r="C70" s="94" cm="1">
        <f t="array" ref="C70">IF(A70&lt;=DATE2,SUM(IF((INDEX(INDEX,,1)=A70)*(INDEX(INDEX,3,)=index_choisi),INDEX(INDEX,,),0)),"")</f>
        <v>132.19999999999999</v>
      </c>
      <c r="D70" s="94" cm="1">
        <f t="array" ref="D70">IF(A70&lt;=DATE2,SUM(IF((INDEX(INDICES,,1)=A70)*(INDEX(INDICES,5,)="Matériel"),INDEX(INDICES,,),0)),"")</f>
        <v>116.6</v>
      </c>
      <c r="E70" s="94" cm="1">
        <f t="array" ref="E70">IF(A70&lt;=DATE2,SUM(IF((INDEX(INDICES,,1)=A70)*(INDEX(INDICES,5,)="Travail"),INDEX(INDICES,,),0)),"")</f>
        <v>124.4</v>
      </c>
      <c r="F70" s="94" cm="1">
        <f t="array" ref="F70">IF(A70&lt;=DATE2,SUM(IF((INDEX(INDICES,,1)=A70)*(INDEX(INDICES,5,)="GNR pour les Travaux Publics"),INDEX(INDICES,,),0)),"")</f>
        <v>156</v>
      </c>
      <c r="G70" s="94" cm="1">
        <f t="array" ref="G70">IF(A70&lt;=DATE2,SUM(IF((INDEX(INDICES,,1)=A70)*(INDEX(INDICES,5,)=indice_compo_max),INDEX(INDICES,,),0)),"")</f>
        <v>106.5049821394999</v>
      </c>
      <c r="H70" s="94" cm="1">
        <f t="array" ref="H70">IF(A70&lt;=DATE2,SUM(IF((INDEX(INDICES,,1)=A70)*(INDEX(INDICES,5,)=indice_compo_max2),INDEX(INDICES,,),0)),"")</f>
        <v>145.34644139636191</v>
      </c>
    </row>
    <row r="71" spans="1:8">
      <c r="A71" s="95">
        <f t="shared" si="1"/>
        <v>44774</v>
      </c>
      <c r="B71" s="94" cm="1">
        <f t="array" ref="B71">IF(A71&lt;=DATE2,SUM(IF((INDEX(INDEX,,1)=A71)*(INDEX(INDEX,3,)="TP01"),INDEX(INDEX,,),0)),"")</f>
        <v>128.9</v>
      </c>
      <c r="C71" s="94" cm="1">
        <f t="array" ref="C71">IF(A71&lt;=DATE2,SUM(IF((INDEX(INDEX,,1)=A71)*(INDEX(INDEX,3,)=index_choisi),INDEX(INDEX,,),0)),"")</f>
        <v>132.1</v>
      </c>
      <c r="D71" s="94" cm="1">
        <f t="array" ref="D71">IF(A71&lt;=DATE2,SUM(IF((INDEX(INDICES,,1)=A71)*(INDEX(INDICES,5,)="Matériel"),INDEX(INDICES,,),0)),"")</f>
        <v>116.6</v>
      </c>
      <c r="E71" s="94" cm="1">
        <f t="array" ref="E71">IF(A71&lt;=DATE2,SUM(IF((INDEX(INDICES,,1)=A71)*(INDEX(INDICES,5,)="Travail"),INDEX(INDICES,,),0)),"")</f>
        <v>125.2</v>
      </c>
      <c r="F71" s="94" cm="1">
        <f t="array" ref="F71">IF(A71&lt;=DATE2,SUM(IF((INDEX(INDICES,,1)=A71)*(INDEX(INDICES,5,)="GNR pour les Travaux Publics"),INDEX(INDICES,,),0)),"")</f>
        <v>148.5</v>
      </c>
      <c r="G71" s="94" cm="1">
        <f t="array" ref="G71">IF(A71&lt;=DATE2,SUM(IF((INDEX(INDICES,,1)=A71)*(INDEX(INDICES,5,)=indice_compo_max),INDEX(INDICES,,),0)),"")</f>
        <v>109.60706899793193</v>
      </c>
      <c r="H71" s="94" cm="1">
        <f t="array" ref="H71">IF(A71&lt;=DATE2,SUM(IF((INDEX(INDICES,,1)=A71)*(INDEX(INDICES,5,)=indice_compo_max2),INDEX(INDICES,,),0)),"")</f>
        <v>141.87319715076234</v>
      </c>
    </row>
    <row r="72" spans="1:8">
      <c r="A72" s="95">
        <f t="shared" si="1"/>
        <v>44805</v>
      </c>
      <c r="B72" s="94" cm="1">
        <f t="array" ref="B72">IF(A72&lt;=DATE2,SUM(IF((INDEX(INDEX,,1)=A72)*(INDEX(INDEX,3,)="TP01"),INDEX(INDEX,,),0)),"")</f>
        <v>128.4</v>
      </c>
      <c r="C72" s="94" cm="1">
        <f t="array" ref="C72">IF(A72&lt;=DATE2,SUM(IF((INDEX(INDEX,,1)=A72)*(INDEX(INDEX,3,)=index_choisi),INDEX(INDEX,,),0)),"")</f>
        <v>130.9</v>
      </c>
      <c r="D72" s="94" cm="1">
        <f t="array" ref="D72">IF(A72&lt;=DATE2,SUM(IF((INDEX(INDICES,,1)=A72)*(INDEX(INDICES,5,)="Matériel"),INDEX(INDICES,,),0)),"")</f>
        <v>117.1</v>
      </c>
      <c r="E72" s="94" cm="1">
        <f t="array" ref="E72">IF(A72&lt;=DATE2,SUM(IF((INDEX(INDICES,,1)=A72)*(INDEX(INDICES,5,)="Travail"),INDEX(INDICES,,),0)),"")</f>
        <v>125.9</v>
      </c>
      <c r="F72" s="94" cm="1">
        <f t="array" ref="F72">IF(A72&lt;=DATE2,SUM(IF((INDEX(INDICES,,1)=A72)*(INDEX(INDICES,5,)="GNR pour les Travaux Publics"),INDEX(INDICES,,),0)),"")</f>
        <v>137.4</v>
      </c>
      <c r="G72" s="94" cm="1">
        <f t="array" ref="G72">IF(A72&lt;=DATE2,SUM(IF((INDEX(INDICES,,1)=A72)*(INDEX(INDICES,5,)=indice_compo_max),INDEX(INDICES,,),0)),"")</f>
        <v>107.72701635645797</v>
      </c>
      <c r="H72" s="94" cm="1">
        <f t="array" ref="H72">IF(A72&lt;=DATE2,SUM(IF((INDEX(INDICES,,1)=A72)*(INDEX(INDICES,5,)=indice_compo_max2),INDEX(INDICES,,),0)),"")</f>
        <v>134.98557720609878</v>
      </c>
    </row>
    <row r="73" spans="1:8">
      <c r="A73" s="95">
        <f t="shared" si="1"/>
        <v>44835</v>
      </c>
      <c r="B73" s="94" cm="1">
        <f t="array" ref="B73">IF(A73&lt;=DATE2,SUM(IF((INDEX(INDEX,,1)=A73)*(INDEX(INDEX,3,)="TP01"),INDEX(INDEX,,),0)),"")</f>
        <v>127.7</v>
      </c>
      <c r="C73" s="94" cm="1">
        <f t="array" ref="C73">IF(A73&lt;=DATE2,SUM(IF((INDEX(INDEX,,1)=A73)*(INDEX(INDEX,3,)=index_choisi),INDEX(INDEX,,),0)),"")</f>
        <v>130.5</v>
      </c>
      <c r="D73" s="94" cm="1">
        <f t="array" ref="D73">IF(A73&lt;=DATE2,SUM(IF((INDEX(INDICES,,1)=A73)*(INDEX(INDICES,5,)="Matériel"),INDEX(INDICES,,),0)),"")</f>
        <v>117.2</v>
      </c>
      <c r="E73" s="94" cm="1">
        <f t="array" ref="E73">IF(A73&lt;=DATE2,SUM(IF((INDEX(INDICES,,1)=A73)*(INDEX(INDICES,5,)="Travail"),INDEX(INDICES,,),0)),"")</f>
        <v>126.6</v>
      </c>
      <c r="F73" s="94" cm="1">
        <f t="array" ref="F73">IF(A73&lt;=DATE2,SUM(IF((INDEX(INDICES,,1)=A73)*(INDEX(INDICES,5,)="GNR pour les Travaux Publics"),INDEX(INDICES,,),0)),"")</f>
        <v>163.5</v>
      </c>
      <c r="G73" s="94" cm="1">
        <f t="array" ref="G73">IF(A73&lt;=DATE2,SUM(IF((INDEX(INDICES,,1)=A73)*(INDEX(INDICES,5,)=indice_compo_max),INDEX(INDICES,,),0)),"")</f>
        <v>106.69298740364729</v>
      </c>
      <c r="H73" s="94" cm="1">
        <f t="array" ref="H73">IF(A73&lt;=DATE2,SUM(IF((INDEX(INDICES,,1)=A73)*(INDEX(INDICES,5,)=indice_compo_max2),INDEX(INDICES,,),0)),"")</f>
        <v>132.86630953081766</v>
      </c>
    </row>
    <row r="74" spans="1:8">
      <c r="A74" s="95">
        <f t="shared" si="1"/>
        <v>44866</v>
      </c>
      <c r="B74" s="94" cm="1">
        <f t="array" ref="B74">IF(A74&lt;=DATE2,SUM(IF((INDEX(INDEX,,1)=A74)*(INDEX(INDEX,3,)="TP01"),INDEX(INDEX,,),0)),"")</f>
        <v>127.3</v>
      </c>
      <c r="C74" s="94" cm="1">
        <f t="array" ref="C74">IF(A74&lt;=DATE2,SUM(IF((INDEX(INDEX,,1)=A74)*(INDEX(INDEX,3,)=index_choisi),INDEX(INDEX,,),0)),"")</f>
        <v>130.19999999999999</v>
      </c>
      <c r="D74" s="94" cm="1">
        <f t="array" ref="D74">IF(A74&lt;=DATE2,SUM(IF((INDEX(INDICES,,1)=A74)*(INDEX(INDICES,5,)="Matériel"),INDEX(INDICES,,),0)),"")</f>
        <v>117.2</v>
      </c>
      <c r="E74" s="94" cm="1">
        <f t="array" ref="E74">IF(A74&lt;=DATE2,SUM(IF((INDEX(INDICES,,1)=A74)*(INDEX(INDICES,5,)="Travail"),INDEX(INDICES,,),0)),"")</f>
        <v>127.2</v>
      </c>
      <c r="F74" s="94" cm="1">
        <f t="array" ref="F74">IF(A74&lt;=DATE2,SUM(IF((INDEX(INDICES,,1)=A74)*(INDEX(INDICES,5,)="GNR pour les Travaux Publics"),INDEX(INDICES,,),0)),"")</f>
        <v>152.1</v>
      </c>
      <c r="G74" s="94" cm="1">
        <f t="array" ref="G74">IF(A74&lt;=DATE2,SUM(IF((INDEX(INDICES,,1)=A74)*(INDEX(INDICES,5,)=indice_compo_max),INDEX(INDICES,,),0)),"")</f>
        <v>108.10302688475277</v>
      </c>
      <c r="H74" s="94" cm="1">
        <f t="array" ref="H74">IF(A74&lt;=DATE2,SUM(IF((INDEX(INDICES,,1)=A74)*(INDEX(INDICES,5,)=indice_compo_max2),INDEX(INDICES,,),0)),"")</f>
        <v>123.85942191087301</v>
      </c>
    </row>
    <row r="75" spans="1:8">
      <c r="A75" s="95">
        <f t="shared" si="1"/>
        <v>44896</v>
      </c>
      <c r="B75" s="94" cm="1">
        <f t="array" ref="B75">IF(A75&lt;=DATE2,SUM(IF((INDEX(INDEX,,1)=A75)*(INDEX(INDEX,3,)="TP01"),INDEX(INDEX,,),0)),"")</f>
        <v>126.5</v>
      </c>
      <c r="C75" s="94" cm="1">
        <f t="array" ref="C75">IF(A75&lt;=DATE2,SUM(IF((INDEX(INDEX,,1)=A75)*(INDEX(INDEX,3,)=index_choisi),INDEX(INDEX,,),0)),"")</f>
        <v>129.4</v>
      </c>
      <c r="D75" s="94" cm="1">
        <f t="array" ref="D75">IF(A75&lt;=DATE2,SUM(IF((INDEX(INDICES,,1)=A75)*(INDEX(INDICES,5,)="Matériel"),INDEX(INDICES,,),0)),"")</f>
        <v>117.4</v>
      </c>
      <c r="E75" s="94" cm="1">
        <f t="array" ref="E75">IF(A75&lt;=DATE2,SUM(IF((INDEX(INDICES,,1)=A75)*(INDEX(INDICES,5,)="Travail"),INDEX(INDICES,,),0)),"")</f>
        <v>127.9</v>
      </c>
      <c r="F75" s="94" cm="1">
        <f t="array" ref="F75">IF(A75&lt;=DATE2,SUM(IF((INDEX(INDICES,,1)=A75)*(INDEX(INDICES,5,)="GNR pour les Travaux Publics"),INDEX(INDICES,,),0)),"")</f>
        <v>140.4</v>
      </c>
      <c r="G75" s="94" cm="1">
        <f t="array" ref="G75">IF(A75&lt;=DATE2,SUM(IF((INDEX(INDICES,,1)=A75)*(INDEX(INDICES,5,)=indice_compo_max),INDEX(INDICES,,),0)),"")</f>
        <v>108.38503478097385</v>
      </c>
      <c r="H75" s="94" cm="1">
        <f t="array" ref="H75">IF(A75&lt;=DATE2,SUM(IF((INDEX(INDICES,,1)=A75)*(INDEX(INDICES,5,)=indice_compo_max2),INDEX(INDICES,,),0)),"")</f>
        <v>111.37929004532877</v>
      </c>
    </row>
    <row r="76" spans="1:8">
      <c r="A76" s="95">
        <f t="shared" si="1"/>
        <v>44927</v>
      </c>
      <c r="B76" s="94" cm="1">
        <f t="array" ref="B76">IF(A76&lt;=DATE2,SUM(IF((INDEX(INDEX,,1)=A76)*(INDEX(INDEX,3,)="TP01"),INDEX(INDEX,,),0)),"")</f>
        <v>128</v>
      </c>
      <c r="C76" s="94" cm="1">
        <f t="array" ref="C76">IF(A76&lt;=DATE2,SUM(IF((INDEX(INDEX,,1)=A76)*(INDEX(INDEX,3,)=index_choisi),INDEX(INDEX,,),0)),"")</f>
        <v>130.4</v>
      </c>
      <c r="D76" s="94" cm="1">
        <f t="array" ref="D76">IF(A76&lt;=DATE2,SUM(IF((INDEX(INDICES,,1)=A76)*(INDEX(INDICES,5,)="Matériel"),INDEX(INDICES,,),0)),"")</f>
        <v>119.3</v>
      </c>
      <c r="E76" s="94" cm="1">
        <f t="array" ref="E76">IF(A76&lt;=DATE2,SUM(IF((INDEX(INDICES,,1)=A76)*(INDEX(INDICES,5,)="Travail"),INDEX(INDICES,,),0)),"")</f>
        <v>128.6</v>
      </c>
      <c r="F76" s="94" cm="1">
        <f t="array" ref="F76">IF(A76&lt;=DATE2,SUM(IF((INDEX(INDICES,,1)=A76)*(INDEX(INDICES,5,)="GNR pour les Travaux Publics"),INDEX(INDICES,,),0)),"")</f>
        <v>150.5</v>
      </c>
      <c r="G76" s="94" cm="1">
        <f t="array" ref="G76">IF(A76&lt;=DATE2,SUM(IF((INDEX(INDICES,,1)=A76)*(INDEX(INDICES,5,)=indice_compo_max),INDEX(INDICES,,),0)),"")</f>
        <v>114.96521902613271</v>
      </c>
      <c r="H76" s="94" cm="1">
        <f t="array" ref="H76">IF(A76&lt;=DATE2,SUM(IF((INDEX(INDICES,,1)=A76)*(INDEX(INDICES,5,)=indice_compo_max2),INDEX(INDICES,,),0)),"")</f>
        <v>107.78830870665803</v>
      </c>
    </row>
    <row r="77" spans="1:8">
      <c r="A77" s="95">
        <f t="shared" si="1"/>
        <v>44958</v>
      </c>
      <c r="B77" s="94" cm="1">
        <f t="array" ref="B77">IF(A77&lt;=DATE2,SUM(IF((INDEX(INDEX,,1)=A77)*(INDEX(INDEX,3,)="TP01"),INDEX(INDEX,,),0)),"")</f>
        <v>127.9</v>
      </c>
      <c r="C77" s="94" cm="1">
        <f t="array" ref="C77">IF(A77&lt;=DATE2,SUM(IF((INDEX(INDEX,,1)=A77)*(INDEX(INDEX,3,)=index_choisi),INDEX(INDEX,,),0)),"")</f>
        <v>132.4</v>
      </c>
      <c r="D77" s="94" cm="1">
        <f t="array" ref="D77">IF(A77&lt;=DATE2,SUM(IF((INDEX(INDICES,,1)=A77)*(INDEX(INDICES,5,)="Matériel"),INDEX(INDICES,,),0)),"")</f>
        <v>119</v>
      </c>
      <c r="E77" s="94" cm="1">
        <f t="array" ref="E77">IF(A77&lt;=DATE2,SUM(IF((INDEX(INDICES,,1)=A77)*(INDEX(INDICES,5,)="Travail"),INDEX(INDICES,,),0)),"")</f>
        <v>129.30000000000001</v>
      </c>
      <c r="F77" s="94" cm="1">
        <f t="array" ref="F77">IF(A77&lt;=DATE2,SUM(IF((INDEX(INDICES,,1)=A77)*(INDEX(INDICES,5,)="GNR pour les Travaux Publics"),INDEX(INDICES,,),0)),"")</f>
        <v>140.5</v>
      </c>
      <c r="G77" s="94" cm="1">
        <f t="array" ref="G77">IF(A77&lt;=DATE2,SUM(IF((INDEX(INDICES,,1)=A77)*(INDEX(INDICES,5,)=indice_compo_max),INDEX(INDICES,,),0)),"")</f>
        <v>125.39951118631322</v>
      </c>
      <c r="H77" s="94" cm="1">
        <f t="array" ref="H77">IF(A77&lt;=DATE2,SUM(IF((INDEX(INDICES,,1)=A77)*(INDEX(INDICES,5,)=indice_compo_max2),INDEX(INDICES,,),0)),"")</f>
        <v>104.4916701006652</v>
      </c>
    </row>
    <row r="78" spans="1:8">
      <c r="A78" s="95">
        <f t="shared" si="1"/>
        <v>44986</v>
      </c>
      <c r="B78" s="94" cm="1">
        <f t="array" ref="B78">IF(A78&lt;=DATE2,SUM(IF((INDEX(INDEX,,1)=A78)*(INDEX(INDEX,3,)="TP01"),INDEX(INDEX,,),0)),"")</f>
        <v>128.9</v>
      </c>
      <c r="C78" s="94" cm="1">
        <f t="array" ref="C78">IF(A78&lt;=DATE2,SUM(IF((INDEX(INDEX,,1)=A78)*(INDEX(INDEX,3,)=index_choisi),INDEX(INDEX,,),0)),"")</f>
        <v>135.30000000000001</v>
      </c>
      <c r="D78" s="94" cm="1">
        <f t="array" ref="D78">IF(A78&lt;=DATE2,SUM(IF((INDEX(INDICES,,1)=A78)*(INDEX(INDICES,5,)="Matériel"),INDEX(INDICES,,),0)),"")</f>
        <v>119.4</v>
      </c>
      <c r="E78" s="94" cm="1">
        <f t="array" ref="E78">IF(A78&lt;=DATE2,SUM(IF((INDEX(INDICES,,1)=A78)*(INDEX(INDICES,5,)="Travail"),INDEX(INDICES,,),0)),"")</f>
        <v>130</v>
      </c>
      <c r="F78" s="94" cm="1">
        <f t="array" ref="F78">IF(A78&lt;=DATE2,SUM(IF((INDEX(INDICES,,1)=A78)*(INDEX(INDICES,5,)="GNR pour les Travaux Publics"),INDEX(INDICES,,),0)),"")</f>
        <v>138.6</v>
      </c>
      <c r="G78" s="94" cm="1">
        <f t="array" ref="G78">IF(A78&lt;=DATE2,SUM(IF((INDEX(INDICES,,1)=A78)*(INDEX(INDICES,5,)=indice_compo_max),INDEX(INDICES,,),0)),"")</f>
        <v>125.2115059221658</v>
      </c>
      <c r="H78" s="94" cm="1">
        <f t="array" ref="H78">IF(A78&lt;=DATE2,SUM(IF((INDEX(INDICES,,1)=A78)*(INDEX(INDICES,5,)=indice_compo_max2),INDEX(INDICES,,),0)),"")</f>
        <v>101.78371696002826</v>
      </c>
    </row>
    <row r="79" spans="1:8">
      <c r="A79" s="95">
        <f t="shared" si="1"/>
        <v>45017</v>
      </c>
      <c r="B79" s="94" cm="1">
        <f t="array" ref="B79">IF(A79&lt;=DATE2,SUM(IF((INDEX(INDEX,,1)=A79)*(INDEX(INDEX,3,)="TP01"),INDEX(INDEX,,),0)),"")</f>
        <v>129.4</v>
      </c>
      <c r="C79" s="94" cm="1">
        <f t="array" ref="C79">IF(A79&lt;=DATE2,SUM(IF((INDEX(INDEX,,1)=A79)*(INDEX(INDEX,3,)=index_choisi),INDEX(INDEX,,),0)),"")</f>
        <v>135.69999999999999</v>
      </c>
      <c r="D79" s="94" cm="1">
        <f t="array" ref="D79">IF(A79&lt;=DATE2,SUM(IF((INDEX(INDICES,,1)=A79)*(INDEX(INDICES,5,)="Matériel"),INDEX(INDICES,,),0)),"")</f>
        <v>122.6</v>
      </c>
      <c r="E79" s="94" cm="1">
        <f t="array" ref="E79">IF(A79&lt;=DATE2,SUM(IF((INDEX(INDICES,,1)=A79)*(INDEX(INDICES,5,)="Travail"),INDEX(INDICES,,),0)),"")</f>
        <v>130.4</v>
      </c>
      <c r="F79" s="94" cm="1">
        <f t="array" ref="F79">IF(A79&lt;=DATE2,SUM(IF((INDEX(INDICES,,1)=A79)*(INDEX(INDICES,5,)="GNR pour les Travaux Publics"),INDEX(INDICES,,),0)),"")</f>
        <v>130.80000000000001</v>
      </c>
      <c r="G79" s="94" cm="1">
        <f t="array" ref="G79">IF(A79&lt;=DATE2,SUM(IF((INDEX(INDICES,,1)=A79)*(INDEX(INDICES,5,)=indice_compo_max),INDEX(INDICES,,),0)),"")</f>
        <v>128.31359278059784</v>
      </c>
      <c r="H79" s="94" cm="1">
        <f t="array" ref="H79">IF(A79&lt;=DATE2,SUM(IF((INDEX(INDICES,,1)=A79)*(INDEX(INDICES,5,)=indice_compo_max2),INDEX(INDICES,,),0)),"")</f>
        <v>101.07729440160121</v>
      </c>
    </row>
    <row r="80" spans="1:8">
      <c r="A80" s="95">
        <f t="shared" si="1"/>
        <v>45047</v>
      </c>
      <c r="B80" s="94" cm="1">
        <f t="array" ref="B80">IF(A80&lt;=DATE2,SUM(IF((INDEX(INDEX,,1)=A80)*(INDEX(INDEX,3,)="TP01"),INDEX(INDEX,,),0)),"")</f>
        <v>128.9</v>
      </c>
      <c r="C80" s="94" cm="1">
        <f t="array" ref="C80">IF(A80&lt;=DATE2,SUM(IF((INDEX(INDEX,,1)=A80)*(INDEX(INDEX,3,)=index_choisi),INDEX(INDEX,,),0)),"")</f>
        <v>133.19999999999999</v>
      </c>
      <c r="D80" s="94" cm="1">
        <f t="array" ref="D80">IF(A80&lt;=DATE2,SUM(IF((INDEX(INDICES,,1)=A80)*(INDEX(INDICES,5,)="Matériel"),INDEX(INDICES,,),0)),"")</f>
        <v>122.2</v>
      </c>
      <c r="E80" s="94" cm="1">
        <f t="array" ref="E80">IF(A80&lt;=DATE2,SUM(IF((INDEX(INDICES,,1)=A80)*(INDEX(INDICES,5,)="Travail"),INDEX(INDICES,,),0)),"")</f>
        <v>130.9</v>
      </c>
      <c r="F80" s="94" cm="1">
        <f t="array" ref="F80">IF(A80&lt;=DATE2,SUM(IF((INDEX(INDICES,,1)=A80)*(INDEX(INDICES,5,)="GNR pour les Travaux Publics"),INDEX(INDICES,,),0)),"")</f>
        <v>122.4</v>
      </c>
      <c r="G80" s="94" cm="1">
        <f t="array" ref="G80">IF(A80&lt;=DATE2,SUM(IF((INDEX(INDICES,,1)=A80)*(INDEX(INDICES,5,)=indice_compo_max),INDEX(INDICES,,),0)),"")</f>
        <v>128.12558751645045</v>
      </c>
      <c r="H80" s="94" cm="1">
        <f t="array" ref="H80">IF(A80&lt;=DATE2,SUM(IF((INDEX(INDICES,,1)=A80)*(INDEX(INDICES,5,)=indice_compo_max2),INDEX(INDICES,,),0)),"")</f>
        <v>98.722552540177773</v>
      </c>
    </row>
    <row r="81" spans="1:8">
      <c r="A81" s="95">
        <f t="shared" ref="A81:A126" si="2">IF(A80&lt;DATE2,EDATE(A80,1),"")</f>
        <v>45078</v>
      </c>
      <c r="B81" s="94" cm="1">
        <f t="array" ref="B81">IF(A81&lt;=DATE2,SUM(IF((INDEX(INDEX,,1)=A81)*(INDEX(INDEX,3,)="TP01"),INDEX(INDEX,,),0)),"")</f>
        <v>128.30000000000001</v>
      </c>
      <c r="C81" s="94" cm="1">
        <f t="array" ref="C81">IF(A81&lt;=DATE2,SUM(IF((INDEX(INDEX,,1)=A81)*(INDEX(INDEX,3,)=index_choisi),INDEX(INDEX,,),0)),"")</f>
        <v>132.19999999999999</v>
      </c>
      <c r="D81" s="94" cm="1">
        <f t="array" ref="D81">IF(A81&lt;=DATE2,SUM(IF((INDEX(INDICES,,1)=A81)*(INDEX(INDICES,5,)="Matériel"),INDEX(INDICES,,),0)),"")</f>
        <v>122.3</v>
      </c>
      <c r="E81" s="94" cm="1">
        <f t="array" ref="E81">IF(A81&lt;=DATE2,SUM(IF((INDEX(INDICES,,1)=A81)*(INDEX(INDICES,5,)="Travail"),INDEX(INDICES,,),0)),"")</f>
        <v>131.4</v>
      </c>
      <c r="F81" s="94" cm="1">
        <f t="array" ref="F81">IF(A81&lt;=DATE2,SUM(IF((INDEX(INDICES,,1)=A81)*(INDEX(INDICES,5,)="GNR pour les Travaux Publics"),INDEX(INDICES,,),0)),"")</f>
        <v>124.3</v>
      </c>
      <c r="G81" s="94" cm="1">
        <f t="array" ref="G81">IF(A81&lt;=DATE2,SUM(IF((INDEX(INDICES,,1)=A81)*(INDEX(INDICES,5,)=indice_compo_max),INDEX(INDICES,,),0)),"")</f>
        <v>128.40759541267153</v>
      </c>
      <c r="H81" s="94" cm="1">
        <f t="array" ref="H81">IF(A81&lt;=DATE2,SUM(IF((INDEX(INDICES,,1)=A81)*(INDEX(INDICES,5,)=indice_compo_max2),INDEX(INDICES,,),0)),"")</f>
        <v>93.542120445046208</v>
      </c>
    </row>
    <row r="82" spans="1:8">
      <c r="A82" s="95">
        <f t="shared" si="2"/>
        <v>45108</v>
      </c>
      <c r="B82" s="94" cm="1">
        <f t="array" ref="B82">IF(A82&lt;=DATE2,SUM(IF((INDEX(INDEX,,1)=A82)*(INDEX(INDEX,3,)="TP01"),INDEX(INDEX,,),0)),"")</f>
        <v>128.6</v>
      </c>
      <c r="C82" s="94" cm="1">
        <f t="array" ref="C82">IF(A82&lt;=DATE2,SUM(IF((INDEX(INDEX,,1)=A82)*(INDEX(INDEX,3,)=index_choisi),INDEX(INDEX,,),0)),"")</f>
        <v>131.1</v>
      </c>
      <c r="D82" s="94" cm="1">
        <f t="array" ref="D82">IF(A82&lt;=DATE2,SUM(IF((INDEX(INDICES,,1)=A82)*(INDEX(INDICES,5,)="Matériel"),INDEX(INDICES,,),0)),"")</f>
        <v>122.9</v>
      </c>
      <c r="E82" s="94" cm="1">
        <f t="array" ref="E82">IF(A82&lt;=DATE2,SUM(IF((INDEX(INDICES,,1)=A82)*(INDEX(INDICES,5,)="Travail"),INDEX(INDICES,,),0)),"")</f>
        <v>131.5</v>
      </c>
      <c r="F82" s="94" cm="1">
        <f t="array" ref="F82">IF(A82&lt;=DATE2,SUM(IF((INDEX(INDICES,,1)=A82)*(INDEX(INDICES,5,)="GNR pour les Travaux Publics"),INDEX(INDICES,,),0)),"")</f>
        <v>129.1</v>
      </c>
      <c r="G82" s="94" cm="1">
        <f t="array" ref="G82">IF(A82&lt;=DATE2,SUM(IF((INDEX(INDICES,,1)=A82)*(INDEX(INDICES,5,)=indice_compo_max),INDEX(INDICES,,),0)),"")</f>
        <v>126.90355329949237</v>
      </c>
      <c r="H82" s="94" cm="1">
        <f t="array" ref="H82">IF(A82&lt;=DATE2,SUM(IF((INDEX(INDICES,,1)=A82)*(INDEX(INDICES,5,)=indice_compo_max2),INDEX(INDICES,,),0)),"")</f>
        <v>89.421322187555191</v>
      </c>
    </row>
    <row r="83" spans="1:8">
      <c r="A83" s="95">
        <f t="shared" si="2"/>
        <v>45139</v>
      </c>
      <c r="B83" s="94" cm="1">
        <f t="array" ref="B83">IF(A83&lt;=DATE2,SUM(IF((INDEX(INDEX,,1)=A83)*(INDEX(INDEX,3,)="TP01"),INDEX(INDEX,,),0)),"")</f>
        <v>129.19999999999999</v>
      </c>
      <c r="C83" s="94" cm="1">
        <f t="array" ref="C83">IF(A83&lt;=DATE2,SUM(IF((INDEX(INDEX,,1)=A83)*(INDEX(INDEX,3,)=index_choisi),INDEX(INDEX,,),0)),"")</f>
        <v>131.5</v>
      </c>
      <c r="D83" s="94" cm="1">
        <f t="array" ref="D83">IF(A83&lt;=DATE2,SUM(IF((INDEX(INDICES,,1)=A83)*(INDEX(INDICES,5,)="Matériel"),INDEX(INDICES,,),0)),"")</f>
        <v>122.8</v>
      </c>
      <c r="E83" s="94" cm="1">
        <f t="array" ref="E83">IF(A83&lt;=DATE2,SUM(IF((INDEX(INDICES,,1)=A83)*(INDEX(INDICES,5,)="Travail"),INDEX(INDICES,,),0)),"")</f>
        <v>131.6</v>
      </c>
      <c r="F83" s="94" cm="1">
        <f t="array" ref="F83">IF(A83&lt;=DATE2,SUM(IF((INDEX(INDICES,,1)=A83)*(INDEX(INDICES,5,)="GNR pour les Travaux Publics"),INDEX(INDICES,,),0)),"")</f>
        <v>143.19999999999999</v>
      </c>
      <c r="G83" s="94" cm="1">
        <f t="array" ref="G83">IF(A83&lt;=DATE2,SUM(IF((INDEX(INDICES,,1)=A83)*(INDEX(INDICES,5,)=indice_compo_max),INDEX(INDICES,,),0)),"")</f>
        <v>129.44162436548223</v>
      </c>
      <c r="H83" s="94" cm="1">
        <f t="array" ref="H83">IF(A83&lt;=DATE2,SUM(IF((INDEX(INDICES,,1)=A83)*(INDEX(INDICES,5,)=indice_compo_max2),INDEX(INDICES,,),0)),"")</f>
        <v>87.419791605345253</v>
      </c>
    </row>
    <row r="84" spans="1:8">
      <c r="A84" s="95">
        <f t="shared" si="2"/>
        <v>45170</v>
      </c>
      <c r="B84" s="94" cm="1">
        <f t="array" ref="B84">IF(A84&lt;=DATE2,SUM(IF((INDEX(INDEX,,1)=A84)*(INDEX(INDEX,3,)="TP01"),INDEX(INDEX,,),0)),"")</f>
        <v>130.80000000000001</v>
      </c>
      <c r="C84" s="94" cm="1">
        <f t="array" ref="C84">IF(A84&lt;=DATE2,SUM(IF((INDEX(INDEX,,1)=A84)*(INDEX(INDEX,3,)=index_choisi),INDEX(INDEX,,),0)),"")</f>
        <v>131.30000000000001</v>
      </c>
      <c r="D84" s="94" cm="1">
        <f t="array" ref="D84">IF(A84&lt;=DATE2,SUM(IF((INDEX(INDICES,,1)=A84)*(INDEX(INDICES,5,)="Matériel"),INDEX(INDICES,,),0)),"")</f>
        <v>123.5</v>
      </c>
      <c r="E84" s="94" cm="1">
        <f t="array" ref="E84">IF(A84&lt;=DATE2,SUM(IF((INDEX(INDICES,,1)=A84)*(INDEX(INDICES,5,)="Travail"),INDEX(INDICES,,),0)),"")</f>
        <v>131.69999999999999</v>
      </c>
      <c r="F84" s="94" cm="1">
        <f t="array" ref="F84">IF(A84&lt;=DATE2,SUM(IF((INDEX(INDICES,,1)=A84)*(INDEX(INDICES,5,)="GNR pour les Travaux Publics"),INDEX(INDICES,,),0)),"")</f>
        <v>151.1</v>
      </c>
      <c r="G84" s="94" cm="1">
        <f t="array" ref="G84">IF(A84&lt;=DATE2,SUM(IF((INDEX(INDICES,,1)=A84)*(INDEX(INDICES,5,)=indice_compo_max),INDEX(INDICES,,),0)),"")</f>
        <v>127.27956382778717</v>
      </c>
      <c r="H84" s="94" cm="1">
        <f t="array" ref="H84">IF(A84&lt;=DATE2,SUM(IF((INDEX(INDICES,,1)=A84)*(INDEX(INDICES,5,)=indice_compo_max2),INDEX(INDICES,,),0)),"")</f>
        <v>86.360157767704706</v>
      </c>
    </row>
    <row r="85" spans="1:8">
      <c r="A85" s="95">
        <f t="shared" si="2"/>
        <v>45200</v>
      </c>
      <c r="B85" s="94" cm="1">
        <f t="array" ref="B85">IF(A85&lt;=DATE2,SUM(IF((INDEX(INDEX,,1)=A85)*(INDEX(INDEX,3,)="TP01"),INDEX(INDEX,,),0)),"")</f>
        <v>130.69999999999999</v>
      </c>
      <c r="C85" s="94" cm="1">
        <f t="array" ref="C85">IF(A85&lt;=DATE2,SUM(IF((INDEX(INDEX,,1)=A85)*(INDEX(INDEX,3,)=index_choisi),INDEX(INDEX,,),0)),"")</f>
        <v>131.6</v>
      </c>
      <c r="D85" s="94" cm="1">
        <f t="array" ref="D85">IF(A85&lt;=DATE2,SUM(IF((INDEX(INDICES,,1)=A85)*(INDEX(INDICES,5,)="Matériel"),INDEX(INDICES,,),0)),"")</f>
        <v>123.3</v>
      </c>
      <c r="E85" s="94" cm="1">
        <f t="array" ref="E85">IF(A85&lt;=DATE2,SUM(IF((INDEX(INDICES,,1)=A85)*(INDEX(INDICES,5,)="Travail"),INDEX(INDICES,,),0)),"")</f>
        <v>131.9</v>
      </c>
      <c r="F85" s="94" cm="1">
        <f t="array" ref="F85">IF(A85&lt;=DATE2,SUM(IF((INDEX(INDICES,,1)=A85)*(INDEX(INDICES,5,)="GNR pour les Travaux Publics"),INDEX(INDICES,,),0)),"")</f>
        <v>146.5</v>
      </c>
      <c r="G85" s="94" cm="1">
        <f t="array" ref="G85">IF(A85&lt;=DATE2,SUM(IF((INDEX(INDICES,,1)=A85)*(INDEX(INDICES,5,)=indice_compo_max),INDEX(INDICES,,),0)),"")</f>
        <v>128.50159804474524</v>
      </c>
      <c r="H85" s="94" cm="1">
        <f t="array" ref="H85">IF(A85&lt;=DATE2,SUM(IF((INDEX(INDICES,,1)=A85)*(INDEX(INDICES,5,)=indice_compo_max2),INDEX(INDICES,,),0)),"")</f>
        <v>86.831106139989402</v>
      </c>
    </row>
    <row r="86" spans="1:8">
      <c r="A86" s="95">
        <f t="shared" si="2"/>
        <v>45231</v>
      </c>
      <c r="B86" s="94" cm="1">
        <f t="array" ref="B86">IF(A86&lt;=DATE2,SUM(IF((INDEX(INDEX,,1)=A86)*(INDEX(INDEX,3,)="TP01"),INDEX(INDEX,,),0)),"")</f>
        <v>130.30000000000001</v>
      </c>
      <c r="C86" s="94" cm="1">
        <f t="array" ref="C86">IF(A86&lt;=DATE2,SUM(IF((INDEX(INDEX,,1)=A86)*(INDEX(INDEX,3,)=index_choisi),INDEX(INDEX,,),0)),"")</f>
        <v>132.6</v>
      </c>
      <c r="D86" s="94" cm="1">
        <f t="array" ref="D86">IF(A86&lt;=DATE2,SUM(IF((INDEX(INDICES,,1)=A86)*(INDEX(INDICES,5,)="Matériel"),INDEX(INDICES,,),0)),"")</f>
        <v>123</v>
      </c>
      <c r="E86" s="94" cm="1">
        <f t="array" ref="E86">IF(A86&lt;=DATE2,SUM(IF((INDEX(INDICES,,1)=A86)*(INDEX(INDICES,5,)="Travail"),INDEX(INDICES,,),0)),"")</f>
        <v>132.1</v>
      </c>
      <c r="F86" s="94" cm="1">
        <f t="array" ref="F86">IF(A86&lt;=DATE2,SUM(IF((INDEX(INDICES,,1)=A86)*(INDEX(INDICES,5,)="GNR pour les Travaux Publics"),INDEX(INDICES,,),0)),"")</f>
        <v>139.4</v>
      </c>
      <c r="G86" s="94" cm="1">
        <f t="array" ref="G86">IF(A86&lt;=DATE2,SUM(IF((INDEX(INDICES,,1)=A86)*(INDEX(INDICES,5,)=indice_compo_max),INDEX(INDICES,,),0)),"")</f>
        <v>128.50159804474524</v>
      </c>
      <c r="H86" s="94" cm="1">
        <f t="array" ref="H86">IF(A86&lt;=DATE2,SUM(IF((INDEX(INDICES,,1)=A86)*(INDEX(INDICES,5,)=indice_compo_max2),INDEX(INDICES,,),0)),"")</f>
        <v>88.3</v>
      </c>
    </row>
    <row r="87" spans="1:8">
      <c r="A87" s="95">
        <f t="shared" si="2"/>
        <v>45261</v>
      </c>
      <c r="B87" s="94" cm="1">
        <f t="array" ref="B87">IF(A87&lt;=DATE2,SUM(IF((INDEX(INDEX,,1)=A87)*(INDEX(INDEX,3,)="TP01"),INDEX(INDEX,,),0)),"")</f>
        <v>129.6</v>
      </c>
      <c r="C87" s="94" cm="1">
        <f t="array" ref="C87">IF(A87&lt;=DATE2,SUM(IF((INDEX(INDEX,,1)=A87)*(INDEX(INDEX,3,)=index_choisi),INDEX(INDEX,,),0)),"")</f>
        <v>133.69999999999999</v>
      </c>
      <c r="D87" s="94" cm="1">
        <f t="array" ref="D87">IF(A87&lt;=DATE2,SUM(IF((INDEX(INDICES,,1)=A87)*(INDEX(INDICES,5,)="Matériel"),INDEX(INDICES,,),0)),"")</f>
        <v>124.2</v>
      </c>
      <c r="E87" s="94" cm="1">
        <f t="array" ref="E87">IF(A87&lt;=DATE2,SUM(IF((INDEX(INDICES,,1)=A87)*(INDEX(INDICES,5,)="Travail"),INDEX(INDICES,,),0)),"")</f>
        <v>132.30000000000001</v>
      </c>
      <c r="F87" s="94" cm="1">
        <f t="array" ref="F87">IF(A87&lt;=DATE2,SUM(IF((INDEX(INDICES,,1)=A87)*(INDEX(INDICES,5,)="GNR pour les Travaux Publics"),INDEX(INDICES,,),0)),"")</f>
        <v>132</v>
      </c>
      <c r="G87" s="94" cm="1">
        <f t="array" ref="G87">IF(A87&lt;=DATE2,SUM(IF((INDEX(INDICES,,1)=A87)*(INDEX(INDICES,5,)=indice_compo_max),INDEX(INDICES,,),0)),"")</f>
        <v>128.6</v>
      </c>
      <c r="H87" s="94" cm="1">
        <f t="array" ref="H87">IF(A87&lt;=DATE2,SUM(IF((INDEX(INDICES,,1)=A87)*(INDEX(INDICES,5,)=indice_compo_max2),INDEX(INDICES,,),0)),"")</f>
        <v>89.3</v>
      </c>
    </row>
    <row r="88" spans="1:8">
      <c r="A88" s="95">
        <f t="shared" si="2"/>
        <v>45292</v>
      </c>
      <c r="B88" s="94" cm="1">
        <f t="array" ref="B88">IF(A88&lt;=DATE2,SUM(IF((INDEX(INDEX,,1)=A88)*(INDEX(INDEX,3,)="TP01"),INDEX(INDEX,,),0)),"")</f>
        <v>129.6</v>
      </c>
      <c r="C88" s="94" cm="1">
        <f t="array" ref="C88">IF(A88&lt;=DATE2,SUM(IF((INDEX(INDEX,,1)=A88)*(INDEX(INDEX,3,)=index_choisi),INDEX(INDEX,,),0)),"")</f>
        <v>134</v>
      </c>
      <c r="D88" s="94" cm="1">
        <f t="array" ref="D88">IF(A88&lt;=DATE2,SUM(IF((INDEX(INDICES,,1)=A88)*(INDEX(INDICES,5,)="Matériel"),INDEX(INDICES,,),0)),"")</f>
        <v>124</v>
      </c>
      <c r="E88" s="94" cm="1">
        <f t="array" ref="E88">IF(A88&lt;=DATE2,SUM(IF((INDEX(INDICES,,1)=A88)*(INDEX(INDICES,5,)="Travail"),INDEX(INDICES,,),0)),"")</f>
        <v>132.5</v>
      </c>
      <c r="F88" s="94" cm="1">
        <f t="array" ref="F88">IF(A88&lt;=DATE2,SUM(IF((INDEX(INDICES,,1)=A88)*(INDEX(INDICES,5,)="GNR pour les Travaux Publics"),INDEX(INDICES,,),0)),"")</f>
        <v>146.30000000000001</v>
      </c>
      <c r="G88" s="94" cm="1">
        <f t="array" ref="G88">IF(A88&lt;=DATE2,SUM(IF((INDEX(INDICES,,1)=A88)*(INDEX(INDICES,5,)=indice_compo_max),INDEX(INDICES,,),0)),"")</f>
        <v>129.19999999999999</v>
      </c>
      <c r="H88" s="94" cm="1">
        <f t="array" ref="H88">IF(A88&lt;=DATE2,SUM(IF((INDEX(INDICES,,1)=A88)*(INDEX(INDICES,5,)=indice_compo_max2),INDEX(INDICES,,),0)),"")</f>
        <v>90.3</v>
      </c>
    </row>
    <row r="89" spans="1:8">
      <c r="A89" s="95">
        <f t="shared" si="2"/>
        <v>45323</v>
      </c>
      <c r="B89" s="94" cm="1">
        <f t="array" ref="B89">IF(A89&lt;=DATE2,SUM(IF((INDEX(INDEX,,1)=A89)*(INDEX(INDEX,3,)="TP01"),INDEX(INDEX,,),0)),"")</f>
        <v>129.9</v>
      </c>
      <c r="C89" s="94" cm="1">
        <f t="array" ref="C89">IF(A89&lt;=DATE2,SUM(IF((INDEX(INDEX,,1)=A89)*(INDEX(INDEX,3,)=index_choisi),INDEX(INDEX,,),0)),"")</f>
        <v>133.6</v>
      </c>
      <c r="D89" s="94" cm="1">
        <f t="array" ref="D89">IF(A89&lt;=DATE2,SUM(IF((INDEX(INDICES,,1)=A89)*(INDEX(INDICES,5,)="Matériel"),INDEX(INDICES,,),0)),"")</f>
        <v>124.1</v>
      </c>
      <c r="E89" s="94" cm="1">
        <f t="array" ref="E89">IF(A89&lt;=DATE2,SUM(IF((INDEX(INDICES,,1)=A89)*(INDEX(INDICES,5,)="Travail"),INDEX(INDICES,,),0)),"")</f>
        <v>132.69999999999999</v>
      </c>
      <c r="F89" s="94" cm="1">
        <f t="array" ref="F89">IF(A89&lt;=DATE2,SUM(IF((INDEX(INDICES,,1)=A89)*(INDEX(INDICES,5,)="GNR pour les Travaux Publics"),INDEX(INDICES,,),0)),"")</f>
        <v>152.9</v>
      </c>
      <c r="G89" s="94" cm="1">
        <f t="array" ref="G89">IF(A89&lt;=DATE2,SUM(IF((INDEX(INDICES,,1)=A89)*(INDEX(INDICES,5,)=indice_compo_max),INDEX(INDICES,,),0)),"")</f>
        <v>130.4</v>
      </c>
      <c r="H89" s="94" cm="1">
        <f t="array" ref="H89">IF(A89&lt;=DATE2,SUM(IF((INDEX(INDICES,,1)=A89)*(INDEX(INDICES,5,)=indice_compo_max2),INDEX(INDICES,,),0)),"")</f>
        <v>91.2</v>
      </c>
    </row>
    <row r="90" spans="1:8">
      <c r="A90" s="95">
        <f t="shared" si="2"/>
        <v>45352</v>
      </c>
      <c r="B90" s="94" cm="1">
        <f t="array" ref="B90">IF(A90&lt;=DATE2,SUM(IF((INDEX(INDEX,,1)=A90)*(INDEX(INDEX,3,)="TP01"),INDEX(INDEX,,),0)),"")</f>
        <v>130.1</v>
      </c>
      <c r="C90" s="94" cm="1">
        <f t="array" ref="C90">IF(A90&lt;=DATE2,SUM(IF((INDEX(INDEX,,1)=A90)*(INDEX(INDEX,3,)=index_choisi),INDEX(INDEX,,),0)),"")</f>
        <v>133.80000000000001</v>
      </c>
      <c r="D90" s="94" cm="1">
        <f t="array" ref="D90">IF(A90&lt;=DATE2,SUM(IF((INDEX(INDICES,,1)=A90)*(INDEX(INDICES,5,)="Matériel"),INDEX(INDICES,,),0)),"")</f>
        <v>124.5</v>
      </c>
      <c r="E90" s="94" cm="1">
        <f t="array" ref="E90">IF(A90&lt;=DATE2,SUM(IF((INDEX(INDICES,,1)=A90)*(INDEX(INDICES,5,)="Travail"),INDEX(INDICES,,),0)),"")</f>
        <v>132.9</v>
      </c>
      <c r="F90" s="94" cm="1">
        <f t="array" ref="F90">IF(A90&lt;=DATE2,SUM(IF((INDEX(INDICES,,1)=A90)*(INDEX(INDICES,5,)="GNR pour les Travaux Publics"),INDEX(INDICES,,),0)),"")</f>
        <v>149.80000000000001</v>
      </c>
      <c r="G90" s="94" cm="1">
        <f t="array" ref="G90">IF(A90&lt;=DATE2,SUM(IF((INDEX(INDICES,,1)=A90)*(INDEX(INDICES,5,)=indice_compo_max),INDEX(INDICES,,),0)),"")</f>
        <v>129.4</v>
      </c>
      <c r="H90" s="94" cm="1">
        <f t="array" ref="H90">IF(A90&lt;=DATE2,SUM(IF((INDEX(INDICES,,1)=A90)*(INDEX(INDICES,5,)=indice_compo_max2),INDEX(INDICES,,),0)),"")</f>
        <v>90.7</v>
      </c>
    </row>
    <row r="91" spans="1:8">
      <c r="A91" s="95">
        <f t="shared" si="2"/>
        <v>45383</v>
      </c>
      <c r="B91" s="94" cm="1">
        <f t="array" ref="B91">IF(A91&lt;=DATE2,SUM(IF((INDEX(INDEX,,1)=A91)*(INDEX(INDEX,3,)="TP01"),INDEX(INDEX,,),0)),"")</f>
        <v>130.30000000000001</v>
      </c>
      <c r="C91" s="94" cm="1">
        <f t="array" ref="C91">IF(A91&lt;=DATE2,SUM(IF((INDEX(INDEX,,1)=A91)*(INDEX(INDEX,3,)=index_choisi),INDEX(INDEX,,),0)),"")</f>
        <v>133.4</v>
      </c>
      <c r="D91" s="94" cm="1">
        <f t="array" ref="D91">IF(A91&lt;=DATE2,SUM(IF((INDEX(INDICES,,1)=A91)*(INDEX(INDICES,5,)="Matériel"),INDEX(INDICES,,),0)),"")</f>
        <v>125</v>
      </c>
      <c r="E91" s="94" cm="1">
        <f t="array" ref="E91">IF(A91&lt;=DATE2,SUM(IF((INDEX(INDICES,,1)=A91)*(INDEX(INDICES,5,)="Travail"),INDEX(INDICES,,),0)),"")</f>
        <v>133.30000000000001</v>
      </c>
      <c r="F91" s="94" cm="1">
        <f t="array" ref="F91">IF(A91&lt;=DATE2,SUM(IF((INDEX(INDICES,,1)=A91)*(INDEX(INDICES,5,)="GNR pour les Travaux Publics"),INDEX(INDICES,,),0)),"")</f>
        <v>147.9</v>
      </c>
      <c r="G91" s="94" cm="1">
        <f t="array" ref="G91">IF(A91&lt;=DATE2,SUM(IF((INDEX(INDICES,,1)=A91)*(INDEX(INDICES,5,)=indice_compo_max),INDEX(INDICES,,),0)),"")</f>
        <v>129.69999999999999</v>
      </c>
      <c r="H91" s="94" cm="1">
        <f t="array" ref="H91">IF(A91&lt;=DATE2,SUM(IF((INDEX(INDICES,,1)=A91)*(INDEX(INDICES,5,)=indice_compo_max2),INDEX(INDICES,,),0)),"")</f>
        <v>89.2</v>
      </c>
    </row>
    <row r="92" spans="1:8">
      <c r="A92" s="95">
        <f t="shared" si="2"/>
        <v>45413</v>
      </c>
      <c r="B92" s="94" cm="1">
        <f t="array" ref="B92">IF(A92&lt;=DATE2,SUM(IF((INDEX(INDEX,,1)=A92)*(INDEX(INDEX,3,)="TP01"),INDEX(INDEX,,),0)),"")</f>
        <v>130.1</v>
      </c>
      <c r="C92" s="94" cm="1">
        <f t="array" ref="C92">IF(A92&lt;=DATE2,SUM(IF((INDEX(INDEX,,1)=A92)*(INDEX(INDEX,3,)=index_choisi),INDEX(INDEX,,),0)),"")</f>
        <v>132.5</v>
      </c>
      <c r="D92" s="94" cm="1">
        <f t="array" ref="D92">IF(A92&lt;=DATE2,SUM(IF((INDEX(INDICES,,1)=A92)*(INDEX(INDICES,5,)="Matériel"),INDEX(INDICES,,),0)),"")</f>
        <v>124.9</v>
      </c>
      <c r="E92" s="94" cm="1">
        <f t="array" ref="E92">IF(A92&lt;=DATE2,SUM(IF((INDEX(INDICES,,1)=A92)*(INDEX(INDICES,5,)="Travail"),INDEX(INDICES,,),0)),"")</f>
        <v>133.69999999999999</v>
      </c>
      <c r="F92" s="94" cm="1">
        <f t="array" ref="F92">IF(A92&lt;=DATE2,SUM(IF((INDEX(INDICES,,1)=A92)*(INDEX(INDICES,5,)="GNR pour les Travaux Publics"),INDEX(INDICES,,),0)),"")</f>
        <v>141.19999999999999</v>
      </c>
      <c r="G92" s="94" cm="1">
        <f t="array" ref="G92">IF(A92&lt;=DATE2,SUM(IF((INDEX(INDICES,,1)=A92)*(INDEX(INDICES,5,)=indice_compo_max),INDEX(INDICES,,),0)),"")</f>
        <v>129</v>
      </c>
      <c r="H92" s="94" cm="1">
        <f t="array" ref="H92">IF(A92&lt;=DATE2,SUM(IF((INDEX(INDICES,,1)=A92)*(INDEX(INDICES,5,)=indice_compo_max2),INDEX(INDICES,,),0)),"")</f>
        <v>89</v>
      </c>
    </row>
    <row r="93" spans="1:8">
      <c r="A93" s="95">
        <f t="shared" si="2"/>
        <v>45444</v>
      </c>
      <c r="B93" s="94" cm="1">
        <f t="array" ref="B93">IF(A93&lt;=DATE2,SUM(IF((INDEX(INDEX,,1)=A93)*(INDEX(INDEX,3,)="TP01"),INDEX(INDEX,,),0)),"")</f>
        <v>129.80000000000001</v>
      </c>
      <c r="C93" s="94" cm="1">
        <f t="array" ref="C93">IF(A93&lt;=DATE2,SUM(IF((INDEX(INDEX,,1)=A93)*(INDEX(INDEX,3,)=index_choisi),INDEX(INDEX,,),0)),"")</f>
        <v>132.1</v>
      </c>
      <c r="D93" s="94" cm="1">
        <f t="array" ref="D93">IF(A93&lt;=DATE2,SUM(IF((INDEX(INDICES,,1)=A93)*(INDEX(INDICES,5,)="Matériel"),INDEX(INDICES,,),0)),"")</f>
        <v>125</v>
      </c>
      <c r="E93" s="94" cm="1">
        <f t="array" ref="E93">IF(A93&lt;=DATE2,SUM(IF((INDEX(INDICES,,1)=A93)*(INDEX(INDICES,5,)="Travail"),INDEX(INDICES,,),0)),"")</f>
        <v>134</v>
      </c>
      <c r="F93" s="94" cm="1">
        <f t="array" ref="F93">IF(A93&lt;=DATE2,SUM(IF((INDEX(INDICES,,1)=A93)*(INDEX(INDICES,5,)="GNR pour les Travaux Publics"),INDEX(INDICES,,),0)),"")</f>
        <v>142.19999999999999</v>
      </c>
      <c r="G93" s="94" cm="1">
        <f t="array" ref="G93">IF(A93&lt;=DATE2,SUM(IF((INDEX(INDICES,,1)=A93)*(INDEX(INDICES,5,)=indice_compo_max),INDEX(INDICES,,),0)),"")</f>
        <v>128.5</v>
      </c>
      <c r="H93" s="94" cm="1">
        <f t="array" ref="H93">IF(A93&lt;=DATE2,SUM(IF((INDEX(INDICES,,1)=A93)*(INDEX(INDICES,5,)=indice_compo_max2),INDEX(INDICES,,),0)),"")</f>
        <v>88.3</v>
      </c>
    </row>
    <row r="94" spans="1:8">
      <c r="A94" s="95">
        <f t="shared" si="2"/>
        <v>45474</v>
      </c>
      <c r="B94" s="94" cm="1">
        <f t="array" ref="B94">IF(A94&lt;=DATE2,SUM(IF((INDEX(INDEX,,1)=A94)*(INDEX(INDEX,3,)="TP01"),INDEX(INDEX,,),0)),"")</f>
        <v>129.9</v>
      </c>
      <c r="C94" s="94" cm="1">
        <f t="array" ref="C94">IF(A94&lt;=DATE2,SUM(IF((INDEX(INDEX,,1)=A94)*(INDEX(INDEX,3,)=index_choisi),INDEX(INDEX,,),0)),"")</f>
        <v>132.30000000000001</v>
      </c>
      <c r="D94" s="94" cm="1">
        <f t="array" ref="D94">IF(A94&lt;=DATE2,SUM(IF((INDEX(INDICES,,1)=A94)*(INDEX(INDICES,5,)="Matériel"),INDEX(INDICES,,),0)),"")</f>
        <v>125</v>
      </c>
      <c r="E94" s="94" cm="1">
        <f t="array" ref="E94">IF(A94&lt;=DATE2,SUM(IF((INDEX(INDICES,,1)=A94)*(INDEX(INDICES,5,)="Travail"),INDEX(INDICES,,),0)),"")</f>
        <v>134.6</v>
      </c>
      <c r="F94" s="94" cm="1">
        <f t="array" ref="F94">IF(A94&lt;=DATE2,SUM(IF((INDEX(INDICES,,1)=A94)*(INDEX(INDICES,5,)="GNR pour les Travaux Publics"),INDEX(INDICES,,),0)),"")</f>
        <v>140</v>
      </c>
      <c r="G94" s="94" cm="1">
        <f t="array" ref="G94">IF(A94&lt;=DATE2,SUM(IF((INDEX(INDICES,,1)=A94)*(INDEX(INDICES,5,)=indice_compo_max),INDEX(INDICES,,),0)),"")</f>
        <v>128.6</v>
      </c>
      <c r="H94" s="94" cm="1">
        <f t="array" ref="H94">IF(A94&lt;=DATE2,SUM(IF((INDEX(INDICES,,1)=A94)*(INDEX(INDICES,5,)=indice_compo_max2),INDEX(INDICES,,),0)),"")</f>
        <v>88.3</v>
      </c>
    </row>
    <row r="95" spans="1:8">
      <c r="A95" s="95">
        <f t="shared" si="2"/>
        <v>45505</v>
      </c>
      <c r="B95" s="94" cm="1">
        <f t="array" ref="B95">IF(A95&lt;=DATE2,SUM(IF((INDEX(INDEX,,1)=A95)*(INDEX(INDEX,3,)="TP01"),INDEX(INDEX,,),0)),"")</f>
        <v>130.1</v>
      </c>
      <c r="C95" s="94" cm="1">
        <f t="array" ref="C95">IF(A95&lt;=DATE2,SUM(IF((INDEX(INDEX,,1)=A95)*(INDEX(INDEX,3,)=index_choisi),INDEX(INDEX,,),0)),"")</f>
        <v>132.80000000000001</v>
      </c>
      <c r="D95" s="94" cm="1">
        <f t="array" ref="D95">IF(A95&lt;=DATE2,SUM(IF((INDEX(INDICES,,1)=A95)*(INDEX(INDICES,5,)="Matériel"),INDEX(INDICES,,),0)),"")</f>
        <v>125.4</v>
      </c>
      <c r="E95" s="94" cm="1">
        <f t="array" ref="E95">IF(A95&lt;=DATE2,SUM(IF((INDEX(INDICES,,1)=A95)*(INDEX(INDICES,5,)="Travail"),INDEX(INDICES,,),0)),"")</f>
        <v>135.1</v>
      </c>
      <c r="F95" s="94" cm="1">
        <f t="array" ref="F95">IF(A95&lt;=DATE2,SUM(IF((INDEX(INDICES,,1)=A95)*(INDEX(INDICES,5,)="GNR pour les Travaux Publics"),INDEX(INDICES,,),0)),"")</f>
        <v>131.69999999999999</v>
      </c>
      <c r="G95" s="94" cm="1">
        <f t="array" ref="G95">IF(A95&lt;=DATE2,SUM(IF((INDEX(INDICES,,1)=A95)*(INDEX(INDICES,5,)=indice_compo_max),INDEX(INDICES,,),0)),"")</f>
        <v>129.19999999999999</v>
      </c>
      <c r="H95" s="94" cm="1">
        <f t="array" ref="H95">IF(A95&lt;=DATE2,SUM(IF((INDEX(INDICES,,1)=A95)*(INDEX(INDICES,5,)=indice_compo_max2),INDEX(INDICES,,),0)),"")</f>
        <v>88.3</v>
      </c>
    </row>
    <row r="96" spans="1:8">
      <c r="A96" s="95">
        <f t="shared" si="2"/>
        <v>45536</v>
      </c>
      <c r="B96" s="94" cm="1">
        <f t="array" ref="B96">IF(A96&lt;=DATE2,SUM(IF((INDEX(INDEX,,1)=A96)*(INDEX(INDEX,3,)="TP01"),INDEX(INDEX,,),0)),"")</f>
        <v>129.1</v>
      </c>
      <c r="C96" s="94" cm="1">
        <f t="array" ref="C96">IF(A96&lt;=DATE2,SUM(IF((INDEX(INDEX,,1)=A96)*(INDEX(INDEX,3,)=index_choisi),INDEX(INDEX,,),0)),"")</f>
        <v>133</v>
      </c>
      <c r="D96" s="94" cm="1">
        <f t="array" ref="D96">IF(A96&lt;=DATE2,SUM(IF((INDEX(INDICES,,1)=A96)*(INDEX(INDICES,5,)="Matériel"),INDEX(INDICES,,),0)),"")</f>
        <v>125.3</v>
      </c>
      <c r="E96" s="94" cm="1">
        <f t="array" ref="E96">IF(A96&lt;=DATE2,SUM(IF((INDEX(INDICES,,1)=A96)*(INDEX(INDICES,5,)="Travail"),INDEX(INDICES,,),0)),"")</f>
        <v>135.69999999999999</v>
      </c>
      <c r="F96" s="94" cm="1">
        <f t="array" ref="F96">IF(A96&lt;=DATE2,SUM(IF((INDEX(INDICES,,1)=A96)*(INDEX(INDICES,5,)="GNR pour les Travaux Publics"),INDEX(INDICES,,),0)),"")</f>
        <v>129.1</v>
      </c>
      <c r="G96" s="94" cm="1">
        <f t="array" ref="G96">IF(A96&lt;=DATE2,SUM(IF((INDEX(INDICES,,1)=A96)*(INDEX(INDICES,5,)=indice_compo_max),INDEX(INDICES,,),0)),"")</f>
        <v>128.1</v>
      </c>
      <c r="H96" s="94" cm="1">
        <f t="array" ref="H96">IF(A96&lt;=DATE2,SUM(IF((INDEX(INDICES,,1)=A96)*(INDEX(INDICES,5,)=indice_compo_max2),INDEX(INDICES,,),0)),"")</f>
        <v>89.1</v>
      </c>
    </row>
    <row r="97" spans="1:8">
      <c r="A97" s="95">
        <f t="shared" si="2"/>
        <v>45566</v>
      </c>
      <c r="B97" s="94" cm="1">
        <f t="array" ref="B97">IF(A97&lt;=DATE2,SUM(IF((INDEX(INDEX,,1)=A97)*(INDEX(INDEX,3,)="TP01"),INDEX(INDEX,,),0)),"")</f>
        <v>128.80000000000001</v>
      </c>
      <c r="C97" s="94" cm="1">
        <f t="array" ref="C97">IF(A97&lt;=DATE2,SUM(IF((INDEX(INDEX,,1)=A97)*(INDEX(INDEX,3,)=index_choisi),INDEX(INDEX,,),0)),"")</f>
        <v>133.1</v>
      </c>
      <c r="D97" s="94" cm="1">
        <f t="array" ref="D97">IF(A97&lt;=DATE2,SUM(IF((INDEX(INDICES,,1)=A97)*(INDEX(INDICES,5,)="Matériel"),INDEX(INDICES,,),0)),"")</f>
        <v>125</v>
      </c>
      <c r="E97" s="94" cm="1">
        <f t="array" ref="E97">IF(A97&lt;=DATE2,SUM(IF((INDEX(INDICES,,1)=A97)*(INDEX(INDICES,5,)="Travail"),INDEX(INDICES,,),0)),"")</f>
        <v>136.1</v>
      </c>
      <c r="F97" s="94" cm="1">
        <f t="array" ref="F97">IF(A97&lt;=DATE2,SUM(IF((INDEX(INDICES,,1)=A97)*(INDEX(INDICES,5,)="GNR pour les Travaux Publics"),INDEX(INDICES,,),0)),"")</f>
        <v>132.19999999999999</v>
      </c>
      <c r="G97" s="94" cm="1">
        <f t="array" ref="G97">IF(A97&lt;=DATE2,SUM(IF((INDEX(INDICES,,1)=A97)*(INDEX(INDICES,5,)=indice_compo_max),INDEX(INDICES,,),0)),"")</f>
        <v>128.19999999999999</v>
      </c>
      <c r="H97" s="94" cm="1">
        <f t="array" ref="H97">IF(A97&lt;=DATE2,SUM(IF((INDEX(INDICES,,1)=A97)*(INDEX(INDICES,5,)=indice_compo_max2),INDEX(INDICES,,),0)),"")</f>
        <v>86.4</v>
      </c>
    </row>
    <row r="98" spans="1:8">
      <c r="A98" s="95">
        <f t="shared" si="2"/>
        <v>45597</v>
      </c>
      <c r="B98" s="94" cm="1">
        <f t="array" ref="B98">IF(A98&lt;=DATE2,SUM(IF((INDEX(INDEX,,1)=A98)*(INDEX(INDEX,3,)="TP01"),INDEX(INDEX,,),0)),"")</f>
        <v>130.19999999999999</v>
      </c>
      <c r="C98" s="94" cm="1">
        <f t="array" ref="C98">IF(A98&lt;=DATE2,SUM(IF((INDEX(INDEX,,1)=A98)*(INDEX(INDEX,3,)=index_choisi),INDEX(INDEX,,),0)),"")</f>
        <v>133.6</v>
      </c>
      <c r="D98" s="94" cm="1">
        <f t="array" ref="D98">IF(A98&lt;=DATE2,SUM(IF((INDEX(INDICES,,1)=A98)*(INDEX(INDICES,5,)="Matériel"),INDEX(INDICES,,),0)),"")</f>
        <v>124.8</v>
      </c>
      <c r="E98" s="94" cm="1">
        <f t="array" ref="E98">IF(A98&lt;=DATE2,SUM(IF((INDEX(INDICES,,1)=A98)*(INDEX(INDICES,5,)="Travail"),INDEX(INDICES,,),0)),"")</f>
        <v>136.5</v>
      </c>
      <c r="F98" s="94" cm="1">
        <f t="array" ref="F98">IF(A98&lt;=DATE2,SUM(IF((INDEX(INDICES,,1)=A98)*(INDEX(INDICES,5,)="GNR pour les Travaux Publics"),INDEX(INDICES,,),0)),"")</f>
        <v>133.80000000000001</v>
      </c>
      <c r="G98" s="94" cm="1">
        <f t="array" ref="G98">IF(A98&lt;=DATE2,SUM(IF((INDEX(INDICES,,1)=A98)*(INDEX(INDICES,5,)=indice_compo_max),INDEX(INDICES,,),0)),"")</f>
        <v>127.7</v>
      </c>
      <c r="H98" s="94" cm="1">
        <f t="array" ref="H98">IF(A98&lt;=DATE2,SUM(IF((INDEX(INDICES,,1)=A98)*(INDEX(INDICES,5,)=indice_compo_max2),INDEX(INDICES,,),0)),"")</f>
        <v>85.7</v>
      </c>
    </row>
    <row r="99" spans="1:8">
      <c r="A99" s="95">
        <f t="shared" si="2"/>
        <v>45627</v>
      </c>
      <c r="B99" s="94" cm="1">
        <f t="array" ref="B99">IF(A99&lt;=DATE2,SUM(IF((INDEX(INDEX,,1)=A99)*(INDEX(INDEX,3,)="TP01"),INDEX(INDEX,,),0)),"")</f>
        <v>130.6</v>
      </c>
      <c r="C99" s="94" cm="1">
        <f t="array" ref="C99">IF(A99&lt;=DATE2,SUM(IF((INDEX(INDEX,,1)=A99)*(INDEX(INDEX,3,)=index_choisi),INDEX(INDEX,,),0)),"")</f>
        <v>134.19999999999999</v>
      </c>
      <c r="D99" s="94" cm="1">
        <f t="array" ref="D99">IF(A99&lt;=DATE2,SUM(IF((INDEX(INDICES,,1)=A99)*(INDEX(INDICES,5,)="Matériel"),INDEX(INDICES,,),0)),"")</f>
        <v>124.9</v>
      </c>
      <c r="E99" s="94" cm="1">
        <f t="array" ref="E99">IF(A99&lt;=DATE2,SUM(IF((INDEX(INDICES,,1)=A99)*(INDEX(INDICES,5,)="Travail"),INDEX(INDICES,,),0)),"")</f>
        <v>136.9</v>
      </c>
      <c r="F99" s="94" cm="1">
        <f t="array" ref="F99">IF(A99&lt;=DATE2,SUM(IF((INDEX(INDICES,,1)=A99)*(INDEX(INDICES,5,)="GNR pour les Travaux Publics"),INDEX(INDICES,,),0)),"")</f>
        <v>135.5</v>
      </c>
      <c r="G99" s="94" cm="1">
        <f t="array" ref="G99">IF(A99&lt;=DATE2,SUM(IF((INDEX(INDICES,,1)=A99)*(INDEX(INDICES,5,)=indice_compo_max),INDEX(INDICES,,),0)),"")</f>
        <v>128.1</v>
      </c>
      <c r="H99" s="94" cm="1">
        <f t="array" ref="H99">IF(A99&lt;=DATE2,SUM(IF((INDEX(INDICES,,1)=A99)*(INDEX(INDICES,5,)=indice_compo_max2),INDEX(INDICES,,),0)),"")</f>
        <v>85.8</v>
      </c>
    </row>
    <row r="100" spans="1:8">
      <c r="A100" s="95">
        <f t="shared" si="2"/>
        <v>45658</v>
      </c>
      <c r="B100" s="94" cm="1">
        <f t="array" ref="B100">IF(A100&lt;=DATE2,SUM(IF((INDEX(INDEX,,1)=A100)*(INDEX(INDEX,3,)="TP01"),INDEX(INDEX,,),0)),"")</f>
        <v>131.9</v>
      </c>
      <c r="C100" s="94" cm="1">
        <f t="array" ref="C100">IF(A100&lt;=DATE2,SUM(IF((INDEX(INDEX,,1)=A100)*(INDEX(INDEX,3,)=index_choisi),INDEX(INDEX,,),0)),"")</f>
        <v>135.1</v>
      </c>
      <c r="D100" s="94" cm="1">
        <f t="array" ref="D100">IF(A100&lt;=DATE2,SUM(IF((INDEX(INDICES,,1)=A100)*(INDEX(INDICES,5,)="Matériel"),INDEX(INDICES,,),0)),"")</f>
        <v>124.3</v>
      </c>
      <c r="E100" s="94" cm="1">
        <f t="array" ref="E100">IF(A100&lt;=DATE2,SUM(IF((INDEX(INDICES,,1)=A100)*(INDEX(INDICES,5,)="Travail"),INDEX(INDICES,,),0)),"")</f>
        <v>137.19999999999999</v>
      </c>
      <c r="F100" s="94" cm="1">
        <f t="array" ref="F100">IF(A100&lt;=DATE2,SUM(IF((INDEX(INDICES,,1)=A100)*(INDEX(INDICES,5,)="GNR pour les Travaux Publics"),INDEX(INDICES,,),0)),"")</f>
        <v>157.1</v>
      </c>
      <c r="G100" s="94" cm="1">
        <f t="array" ref="G100">IF(A100&lt;=DATE2,SUM(IF((INDEX(INDICES,,1)=A100)*(INDEX(INDICES,5,)=indice_compo_max),INDEX(INDICES,,),0)),"")</f>
        <v>131.19999999999999</v>
      </c>
      <c r="H100" s="94" cm="1">
        <f t="array" ref="H100">IF(A100&lt;=DATE2,SUM(IF((INDEX(INDICES,,1)=A100)*(INDEX(INDICES,5,)=indice_compo_max2),INDEX(INDICES,,),0)),"")</f>
        <v>86.3</v>
      </c>
    </row>
    <row r="101" spans="1:8">
      <c r="A101" s="95">
        <f t="shared" si="2"/>
        <v>45689</v>
      </c>
      <c r="B101" s="94" cm="1">
        <f t="array" ref="B101">IF(A101&lt;=DATE2,SUM(IF((INDEX(INDEX,,1)=A101)*(INDEX(INDEX,3,)="TP01"),INDEX(INDEX,,),0)),"")</f>
        <v>132.19999999999999</v>
      </c>
      <c r="C101" s="94" cm="1">
        <f t="array" ref="C101">IF(A101&lt;=DATE2,SUM(IF((INDEX(INDEX,,1)=A101)*(INDEX(INDEX,3,)=index_choisi),INDEX(INDEX,,),0)),"")</f>
        <v>135</v>
      </c>
      <c r="D101" s="94" cm="1">
        <f t="array" ref="D101">IF(A101&lt;=DATE2,SUM(IF((INDEX(INDICES,,1)=A101)*(INDEX(INDICES,5,)="Matériel"),INDEX(INDICES,,),0)),"")</f>
        <v>124.8</v>
      </c>
      <c r="E101" s="94" cm="1">
        <f t="array" ref="E101">IF(A101&lt;=DATE2,SUM(IF((INDEX(INDICES,,1)=A101)*(INDEX(INDICES,5,)="Travail"),INDEX(INDICES,,),0)),"")</f>
        <v>137.4</v>
      </c>
      <c r="F101" s="94" cm="1">
        <f t="array" ref="F101">IF(A101&lt;=DATE2,SUM(IF((INDEX(INDICES,,1)=A101)*(INDEX(INDICES,5,)="GNR pour les Travaux Publics"),INDEX(INDICES,,),0)),"")</f>
        <v>155.6</v>
      </c>
      <c r="G101" s="94" cm="1">
        <f t="array" ref="G101">IF(A101&lt;=DATE2,SUM(IF((INDEX(INDICES,,1)=A101)*(INDEX(INDICES,5,)=indice_compo_max),INDEX(INDICES,,),0)),"")</f>
        <v>130.19999999999999</v>
      </c>
      <c r="H101" s="94" cm="1">
        <f t="array" ref="H101">IF(A101&lt;=DATE2,SUM(IF((INDEX(INDICES,,1)=A101)*(INDEX(INDICES,5,)=indice_compo_max2),INDEX(INDICES,,),0)),"")</f>
        <v>87.5</v>
      </c>
    </row>
    <row r="102" spans="1:8">
      <c r="A102" s="95">
        <f t="shared" si="2"/>
        <v>45717</v>
      </c>
      <c r="B102" s="94" cm="1">
        <f t="array" ref="B102">IF(A102&lt;=DATE2,SUM(IF((INDEX(INDEX,,1)=A102)*(INDEX(INDEX,3,)="TP01"),INDEX(INDEX,,),0)),"")</f>
        <v>131.69999999999999</v>
      </c>
      <c r="C102" s="94" cm="1">
        <f t="array" ref="C102">IF(A102&lt;=DATE2,SUM(IF((INDEX(INDEX,,1)=A102)*(INDEX(INDEX,3,)=index_choisi),INDEX(INDEX,,),0)),"")</f>
        <v>135</v>
      </c>
      <c r="D102" s="94" cm="1">
        <f t="array" ref="D102">IF(A102&lt;=DATE2,SUM(IF((INDEX(INDICES,,1)=A102)*(INDEX(INDICES,5,)="Matériel"),INDEX(INDICES,,),0)),"")</f>
        <v>124.5</v>
      </c>
      <c r="E102" s="94" cm="1">
        <f t="array" ref="E102">IF(A102&lt;=DATE2,SUM(IF((INDEX(INDICES,,1)=A102)*(INDEX(INDICES,5,)="Travail"),INDEX(INDICES,,),0)),"")</f>
        <v>137.6</v>
      </c>
      <c r="F102" s="94" cm="1">
        <f t="array" ref="F102">IF(A102&lt;=DATE2,SUM(IF((INDEX(INDICES,,1)=A102)*(INDEX(INDICES,5,)="GNR pour les Travaux Publics"),INDEX(INDICES,,),0)),"")</f>
        <v>145.69999999999999</v>
      </c>
      <c r="G102" s="94" cm="1">
        <f t="array" ref="G102">IF(A102&lt;=DATE2,SUM(IF((INDEX(INDICES,,1)=A102)*(INDEX(INDICES,5,)=indice_compo_max),INDEX(INDICES,,),0)),"")</f>
        <v>130.1</v>
      </c>
      <c r="H102" s="94" cm="1">
        <f t="array" ref="H102">IF(A102&lt;=DATE2,SUM(IF((INDEX(INDICES,,1)=A102)*(INDEX(INDICES,5,)=indice_compo_max2),INDEX(INDICES,,),0)),"")</f>
        <v>88.3</v>
      </c>
    </row>
    <row r="103" spans="1:8">
      <c r="A103" s="95">
        <f t="shared" si="2"/>
        <v>45748</v>
      </c>
      <c r="B103" s="94" cm="1">
        <f t="array" ref="B103">IF(A103&lt;=DATE2,SUM(IF((INDEX(INDEX,,1)=A103)*(INDEX(INDEX,3,)="TP01"),INDEX(INDEX,,),0)),"")</f>
        <v>131.4</v>
      </c>
      <c r="C103" s="94" cm="1">
        <f t="array" ref="C103">IF(A103&lt;=DATE2,SUM(IF((INDEX(INDEX,,1)=A103)*(INDEX(INDEX,3,)=index_choisi),INDEX(INDEX,,),0)),"")</f>
        <v>135.5</v>
      </c>
      <c r="D103" s="94" cm="1">
        <f t="array" ref="D103">IF(A103&lt;=DATE2,SUM(IF((INDEX(INDICES,,1)=A103)*(INDEX(INDICES,5,)="Matériel"),INDEX(INDICES,,),0)),"")</f>
        <v>126.2</v>
      </c>
      <c r="E103" s="94" cm="1">
        <f t="array" ref="E103">IF(A103&lt;=DATE2,SUM(IF((INDEX(INDICES,,1)=A103)*(INDEX(INDICES,5,)="Travail"),INDEX(INDICES,,),0)),"")</f>
        <v>138</v>
      </c>
      <c r="F103" s="94" cm="1">
        <f t="array" ref="F103">IF(A103&lt;=DATE2,SUM(IF((INDEX(INDICES,,1)=A103)*(INDEX(INDICES,5,)="GNR pour les Travaux Publics"),INDEX(INDICES,,),0)),"")</f>
        <v>141</v>
      </c>
      <c r="G103" s="94" cm="1">
        <f t="array" ref="G103">IF(A103&lt;=DATE2,SUM(IF((INDEX(INDICES,,1)=A103)*(INDEX(INDICES,5,)=indice_compo_max),INDEX(INDICES,,),0)),"")</f>
        <v>131.5</v>
      </c>
      <c r="H103" s="94" cm="1">
        <f t="array" ref="H103">IF(A103&lt;=DATE2,SUM(IF((INDEX(INDICES,,1)=A103)*(INDEX(INDICES,5,)=indice_compo_max2),INDEX(INDICES,,),0)),"")</f>
        <v>89.1</v>
      </c>
    </row>
    <row r="104" spans="1:8">
      <c r="A104" s="95">
        <f t="shared" si="2"/>
        <v>45778</v>
      </c>
      <c r="B104" s="94" cm="1">
        <f t="array" ref="B104">IF(A104&lt;=DATE2,SUM(IF((INDEX(INDEX,,1)=A104)*(INDEX(INDEX,3,)="TP01"),INDEX(INDEX,,),0)),"")</f>
        <v>130.69999999999999</v>
      </c>
      <c r="C104" s="94" cm="1">
        <f t="array" ref="C104">IF(A104&lt;=DATE2,SUM(IF((INDEX(INDEX,,1)=A104)*(INDEX(INDEX,3,)=index_choisi),INDEX(INDEX,,),0)),"")</f>
        <v>135.30000000000001</v>
      </c>
      <c r="D104" s="94" cm="1">
        <f t="array" ref="D104">IF(A104&lt;=DATE2,SUM(IF((INDEX(INDICES,,1)=A104)*(INDEX(INDICES,5,)="Matériel"),INDEX(INDICES,,),0)),"")</f>
        <v>126.4</v>
      </c>
      <c r="E104" s="94" cm="1">
        <f t="array" ref="E104">IF(A104&lt;=DATE2,SUM(IF((INDEX(INDICES,,1)=A104)*(INDEX(INDICES,5,)="Travail"),INDEX(INDICES,,),0)),"")</f>
        <v>138.4</v>
      </c>
      <c r="F104" s="94" cm="1">
        <f t="array" ref="F104">IF(A104&lt;=DATE2,SUM(IF((INDEX(INDICES,,1)=A104)*(INDEX(INDICES,5,)="GNR pour les Travaux Publics"),INDEX(INDICES,,),0)),"")</f>
        <v>140</v>
      </c>
      <c r="G104" s="94" cm="1">
        <f t="array" ref="G104">IF(A104&lt;=DATE2,SUM(IF((INDEX(INDICES,,1)=A104)*(INDEX(INDICES,5,)=indice_compo_max),INDEX(INDICES,,),0)),"")</f>
        <v>131.69999999999999</v>
      </c>
      <c r="H104" s="94" cm="1">
        <f t="array" ref="H104">IF(A104&lt;=DATE2,SUM(IF((INDEX(INDICES,,1)=A104)*(INDEX(INDICES,5,)=indice_compo_max2),INDEX(INDICES,,),0)),"")</f>
        <v>89.6</v>
      </c>
    </row>
    <row r="105" spans="1:8">
      <c r="A105" s="95">
        <f t="shared" si="2"/>
        <v>45809</v>
      </c>
      <c r="B105" s="94" cm="1">
        <f t="array" ref="B105">IF(A105&lt;=DATE2,SUM(IF((INDEX(INDEX,,1)=A105)*(INDEX(INDEX,3,)="TP01"),INDEX(INDEX,,),0)),"")</f>
        <v>130.5</v>
      </c>
      <c r="C105" s="94" cm="1">
        <f t="array" ref="C105">IF(A105&lt;=DATE2,SUM(IF((INDEX(INDEX,,1)=A105)*(INDEX(INDEX,3,)=index_choisi),INDEX(INDEX,,),0)),"")</f>
        <v>135</v>
      </c>
      <c r="D105" s="94" cm="1">
        <f t="array" ref="D105">IF(A105&lt;=DATE2,SUM(IF((INDEX(INDICES,,1)=A105)*(INDEX(INDICES,5,)="Matériel"),INDEX(INDICES,,),0)),"")</f>
        <v>126</v>
      </c>
      <c r="E105" s="94" cm="1">
        <f t="array" ref="E105">IF(A105&lt;=DATE2,SUM(IF((INDEX(INDICES,,1)=A105)*(INDEX(INDICES,5,)="Travail"),INDEX(INDICES,,),0)),"")</f>
        <v>138.69999999999999</v>
      </c>
      <c r="F105" s="94" cm="1">
        <f t="array" ref="F105">IF(A105&lt;=DATE2,SUM(IF((INDEX(INDICES,,1)=A105)*(INDEX(INDICES,5,)="GNR pour les Travaux Publics"),INDEX(INDICES,,),0)),"")</f>
        <v>143.9</v>
      </c>
      <c r="G105" s="94" cm="1">
        <f t="array" ref="G105">IF(A105&lt;=DATE2,SUM(IF((INDEX(INDICES,,1)=A105)*(INDEX(INDICES,5,)=indice_compo_max),INDEX(INDICES,,),0)),"")</f>
        <v>130.69999999999999</v>
      </c>
      <c r="H105" s="94" cm="1">
        <f t="array" ref="H105">IF(A105&lt;=DATE2,SUM(IF((INDEX(INDICES,,1)=A105)*(INDEX(INDICES,5,)=indice_compo_max2),INDEX(INDICES,,),0)),"")</f>
        <v>89.4</v>
      </c>
    </row>
    <row r="106" spans="1:8">
      <c r="A106" s="95">
        <f t="shared" si="2"/>
        <v>45839</v>
      </c>
      <c r="B106" s="94" cm="1">
        <f t="array" ref="B106">IF(A106&lt;=DATE2,SUM(IF((INDEX(INDEX,,1)=A106)*(INDEX(INDEX,3,)="TP01"),INDEX(INDEX,,),0)),"")</f>
        <v>131</v>
      </c>
      <c r="C106" s="94" cm="1">
        <f t="array" ref="C106">IF(A106&lt;=DATE2,SUM(IF((INDEX(INDEX,,1)=A106)*(INDEX(INDEX,3,)=index_choisi),INDEX(INDEX,,),0)),"")</f>
        <v>135.19999999999999</v>
      </c>
      <c r="D106" s="94" cm="1">
        <f t="array" ref="D106">IF(A106&lt;=DATE2,SUM(IF((INDEX(INDICES,,1)=A106)*(INDEX(INDICES,5,)="Matériel"),INDEX(INDICES,,),0)),"")</f>
        <v>125.5</v>
      </c>
      <c r="E106" s="94" cm="1">
        <f t="array" ref="E106">IF(A106&lt;=DATE2,SUM(IF((INDEX(INDICES,,1)=A106)*(INDEX(INDICES,5,)="Travail"),INDEX(INDICES,,),0)),"")</f>
        <v>139</v>
      </c>
      <c r="F106" s="94" cm="1">
        <f t="array" ref="F106">IF(A106&lt;=DATE2,SUM(IF((INDEX(INDICES,,1)=A106)*(INDEX(INDICES,5,)="GNR pour les Travaux Publics"),INDEX(INDICES,,),0)),"")</f>
        <v>147.30000000000001</v>
      </c>
      <c r="G106" s="94" cm="1">
        <f t="array" ref="G106">IF(A106&lt;=DATE2,SUM(IF((INDEX(INDICES,,1)=A106)*(INDEX(INDICES,5,)=indice_compo_max),INDEX(INDICES,,),0)),"")</f>
        <v>131.30000000000001</v>
      </c>
      <c r="H106" s="94" cm="1">
        <f t="array" ref="H106">IF(A106&lt;=DATE2,SUM(IF((INDEX(INDICES,,1)=A106)*(INDEX(INDICES,5,)=indice_compo_max2),INDEX(INDICES,,),0)),"")</f>
        <v>88.6</v>
      </c>
    </row>
    <row r="107" spans="1:8">
      <c r="A107" s="95">
        <f t="shared" si="2"/>
        <v>45870</v>
      </c>
      <c r="B107" s="94" cm="1">
        <f t="array" ref="B107">IF(A107&lt;=DATE2,SUM(IF((INDEX(INDEX,,1)=A107)*(INDEX(INDEX,3,)="TP01"),INDEX(INDEX,,),0)),"")</f>
        <v>131.4</v>
      </c>
      <c r="C107" s="94" cm="1">
        <f t="array" ref="C107">IF(A107&lt;=DATE2,SUM(IF((INDEX(INDEX,,1)=A107)*(INDEX(INDEX,3,)=index_choisi),INDEX(INDEX,,),0)),"")</f>
        <v>136.1</v>
      </c>
      <c r="D107" s="94" cm="1">
        <f t="array" ref="D107">IF(A107&lt;=DATE2,SUM(IF((INDEX(INDICES,,1)=A107)*(INDEX(INDICES,5,)="Matériel"),INDEX(INDICES,,),0)),"")</f>
        <v>128.4</v>
      </c>
      <c r="E107" s="94" cm="1">
        <f t="array" ref="E107">IF(A107&lt;=DATE2,SUM(IF((INDEX(INDICES,,1)=A107)*(INDEX(INDICES,5,)="Travail"),INDEX(INDICES,,),0)),"")</f>
        <v>139.30000000000001</v>
      </c>
      <c r="F107" s="94" cm="1">
        <f t="array" ref="F107">IF(A107&lt;=DATE2,SUM(IF((INDEX(INDICES,,1)=A107)*(INDEX(INDICES,5,)="GNR pour les Travaux Publics"),INDEX(INDICES,,),0)),"")</f>
        <v>143.30000000000001</v>
      </c>
      <c r="G107" s="94" cm="1">
        <f t="array" ref="G107">IF(A107&lt;=DATE2,SUM(IF((INDEX(INDICES,,1)=A107)*(INDEX(INDICES,5,)=indice_compo_max),INDEX(INDICES,,),0)),"")</f>
        <v>132.69999999999999</v>
      </c>
      <c r="H107" s="94" cm="1">
        <f t="array" ref="H107">IF(A107&lt;=DATE2,SUM(IF((INDEX(INDICES,,1)=A107)*(INDEX(INDICES,5,)=indice_compo_max2),INDEX(INDICES,,),0)),"")</f>
        <v>87.8</v>
      </c>
    </row>
    <row r="108" spans="1:8">
      <c r="A108" s="95">
        <f t="shared" si="2"/>
        <v>45901</v>
      </c>
      <c r="B108" s="94" cm="1">
        <f t="array" ref="B108">IF(A108&lt;=DATE2,SUM(IF((INDEX(INDEX,,1)=A108)*(INDEX(INDEX,3,)="TP01"),INDEX(INDEX,,),0)),"")</f>
        <v>130.69999999999999</v>
      </c>
      <c r="C108" s="94" cm="1">
        <f t="array" ref="C108">IF(A108&lt;=DATE2,SUM(IF((INDEX(INDEX,,1)=A108)*(INDEX(INDEX,3,)=index_choisi),INDEX(INDEX,,),0)),"")</f>
        <v>135.69999999999999</v>
      </c>
      <c r="D108" s="94" cm="1">
        <f t="array" ref="D108">IF(A108&lt;=DATE2,SUM(IF((INDEX(INDICES,,1)=A108)*(INDEX(INDICES,5,)="Matériel"),INDEX(INDICES,,),0)),"")</f>
        <v>126.8</v>
      </c>
      <c r="E108" s="94" cm="1">
        <f t="array" ref="E108">IF(A108&lt;=DATE2,SUM(IF((INDEX(INDICES,,1)=A108)*(INDEX(INDICES,5,)="Travail"),INDEX(INDICES,,),0)),"")</f>
        <v>139.69999999999999</v>
      </c>
      <c r="F108" s="94" cm="1">
        <f t="array" ref="F108">IF(A108&lt;=DATE2,SUM(IF((INDEX(INDICES,,1)=A108)*(INDEX(INDICES,5,)="GNR pour les Travaux Publics"),INDEX(INDICES,,),0)),"")</f>
        <v>145.1</v>
      </c>
      <c r="G108" s="94" cm="1">
        <f t="array" ref="G108">IF(A108&lt;=DATE2,SUM(IF((INDEX(INDICES,,1)=A108)*(INDEX(INDICES,5,)=indice_compo_max),INDEX(INDICES,,),0)),"")</f>
        <v>131.30000000000001</v>
      </c>
      <c r="H108" s="94" cm="1">
        <f t="array" ref="H108">IF(A108&lt;=DATE2,SUM(IF((INDEX(INDICES,,1)=A108)*(INDEX(INDICES,5,)=indice_compo_max2),INDEX(INDICES,,),0)),"")</f>
        <v>87.7</v>
      </c>
    </row>
    <row r="109" spans="1:8">
      <c r="A109" s="95">
        <f t="shared" si="2"/>
        <v>45931</v>
      </c>
      <c r="B109" s="94" cm="1">
        <f t="array" ref="B109">IF(A109&lt;=DATE2,SUM(IF((INDEX(INDEX,,1)=A109)*(INDEX(INDEX,3,)="TP01"),INDEX(INDEX,,),0)),"")</f>
        <v>130.5</v>
      </c>
      <c r="C109" s="94" cm="1">
        <f t="array" ref="C109">IF(A109&lt;=DATE2,SUM(IF((INDEX(INDEX,,1)=A109)*(INDEX(INDEX,3,)=index_choisi),INDEX(INDEX,,),0)),"")</f>
        <v>135.69999999999999</v>
      </c>
      <c r="D109" s="94" cm="1">
        <f t="array" ref="D109">IF(A109&lt;=DATE2,SUM(IF((INDEX(INDICES,,1)=A109)*(INDEX(INDICES,5,)="Matériel"),INDEX(INDICES,,),0)),"")</f>
        <v>126.7</v>
      </c>
      <c r="E109" s="94" cm="1">
        <f t="array" ref="E109">IF(A109&lt;=DATE2,SUM(IF((INDEX(INDICES,,1)=A109)*(INDEX(INDICES,5,)="Travail"),INDEX(INDICES,,),0)),"")</f>
        <v>140.4</v>
      </c>
      <c r="F109" s="94" cm="1">
        <f t="array" ref="F109">IF(A109&lt;=DATE2,SUM(IF((INDEX(INDICES,,1)=A109)*(INDEX(INDICES,5,)="GNR pour les Travaux Publics"),INDEX(INDICES,,),0)),"")</f>
        <v>143.4</v>
      </c>
      <c r="G109" s="94" cm="1">
        <f t="array" ref="G109">IF(A109&lt;=DATE2,SUM(IF((INDEX(INDICES,,1)=A109)*(INDEX(INDICES,5,)=indice_compo_max),INDEX(INDICES,,),0)),"")</f>
        <v>131.69999999999999</v>
      </c>
      <c r="H109" s="94" cm="1">
        <f t="array" ref="H109">IF(A109&lt;=DATE2,SUM(IF((INDEX(INDICES,,1)=A109)*(INDEX(INDICES,5,)=indice_compo_max2),INDEX(INDICES,,),0)),"")</f>
        <v>86.4</v>
      </c>
    </row>
    <row r="110" spans="1:8">
      <c r="A110" s="95">
        <f t="shared" si="2"/>
        <v>45962</v>
      </c>
      <c r="B110" s="94" cm="1">
        <f t="array" ref="B110">IF(A110&lt;=DATE2,SUM(IF((INDEX(INDEX,,1)=A110)*(INDEX(INDEX,3,)="TP01"),INDEX(INDEX,,),0)),"")</f>
        <v>130.80000000000001</v>
      </c>
      <c r="C110" s="94" cm="1">
        <f t="array" ref="C110">IF(A110&lt;=DATE2,SUM(IF((INDEX(INDEX,,1)=A110)*(INDEX(INDEX,3,)=index_choisi),INDEX(INDEX,,),0)),"")</f>
        <v>135.80000000000001</v>
      </c>
      <c r="D110" s="94" cm="1">
        <f t="array" ref="D110">IF(A110&lt;=DATE2,SUM(IF((INDEX(INDICES,,1)=A110)*(INDEX(INDICES,5,)="Matériel"),INDEX(INDICES,,),0)),"")</f>
        <v>126.2</v>
      </c>
      <c r="E110" s="94" cm="1">
        <f t="array" ref="E110">IF(A110&lt;=DATE2,SUM(IF((INDEX(INDICES,,1)=A110)*(INDEX(INDICES,5,)="Travail"),INDEX(INDICES,,),0)),"")</f>
        <v>141.1</v>
      </c>
      <c r="F110" s="94" cm="1">
        <f t="array" ref="F110">IF(A110&lt;=DATE2,SUM(IF((INDEX(INDICES,,1)=A110)*(INDEX(INDICES,5,)="GNR pour les Travaux Publics"),INDEX(INDICES,,),0)),"")</f>
        <v>149.6</v>
      </c>
      <c r="G110" s="94" cm="1">
        <f t="array" ref="G110">IF(A110&lt;=DATE2,SUM(IF((INDEX(INDICES,,1)=A110)*(INDEX(INDICES,5,)=indice_compo_max),INDEX(INDICES,,),0)),"")</f>
        <v>131.6</v>
      </c>
      <c r="H110" s="94" cm="1">
        <f t="array" ref="H110">IF(A110&lt;=DATE2,SUM(IF((INDEX(INDICES,,1)=A110)*(INDEX(INDICES,5,)=indice_compo_max2),INDEX(INDICES,,),0)),"")</f>
        <v>85.7</v>
      </c>
    </row>
    <row r="111" spans="1:8">
      <c r="A111" s="95">
        <f t="shared" si="2"/>
        <v>45992</v>
      </c>
      <c r="B111" s="94" cm="1">
        <f t="array" ref="B111">IF(A111&lt;=DATE2,SUM(IF((INDEX(INDEX,,1)=A111)*(INDEX(INDEX,3,)="TP01"),INDEX(INDEX,,),0)),"")</f>
        <v>130.30000000000001</v>
      </c>
      <c r="C111" s="94" cm="1">
        <f t="array" ref="C111">IF(A111&lt;=DATE2,SUM(IF((INDEX(INDEX,,1)=A111)*(INDEX(INDEX,3,)=index_choisi),INDEX(INDEX,,),0)),"")</f>
        <v>136.1</v>
      </c>
      <c r="D111" s="94" cm="1">
        <f t="array" ref="D111">IF(A111&lt;=DATE2,SUM(IF((INDEX(INDICES,,1)=A111)*(INDEX(INDICES,5,)="Matériel"),INDEX(INDICES,,),0)),"")</f>
        <v>125.5</v>
      </c>
      <c r="E111" s="94" cm="1">
        <f t="array" ref="E111">IF(A111&lt;=DATE2,SUM(IF((INDEX(INDICES,,1)=A111)*(INDEX(INDICES,5,)="Travail"),INDEX(INDICES,,),0)),"")</f>
        <v>141.80000000000001</v>
      </c>
      <c r="F111" s="94" cm="1">
        <f t="array" ref="F111">IF(A111&lt;=DATE2,SUM(IF((INDEX(INDICES,,1)=A111)*(INDEX(INDICES,5,)="GNR pour les Travaux Publics"),INDEX(INDICES,,),0)),"")</f>
        <v>136.69999999999999</v>
      </c>
      <c r="G111" s="94" cm="1">
        <f t="array" ref="G111">IF(A111&lt;=DATE2,SUM(IF((INDEX(INDICES,,1)=A111)*(INDEX(INDICES,5,)=indice_compo_max),INDEX(INDICES,,),0)),"")</f>
        <v>131.19999999999999</v>
      </c>
      <c r="H111" s="94" cm="1">
        <f t="array" ref="H111">IF(A111&lt;=DATE2,SUM(IF((INDEX(INDICES,,1)=A111)*(INDEX(INDICES,5,)=indice_compo_max2),INDEX(INDICES,,),0)),"")</f>
        <v>85.6</v>
      </c>
    </row>
    <row r="112" spans="1:8">
      <c r="A112" s="95">
        <f t="shared" si="2"/>
        <v>46023</v>
      </c>
      <c r="B112" s="94" cm="1">
        <f t="array" ref="B112">IF(A112&lt;=DATE2,SUM(IF((INDEX(INDEX,,1)=A112)*(INDEX(INDEX,3,)="TP01"),INDEX(INDEX,,),0)),"")</f>
        <v>131.4</v>
      </c>
      <c r="C112" s="94" cm="1">
        <f t="array" ref="C112">IF(A112&lt;=DATE2,SUM(IF((INDEX(INDEX,,1)=A112)*(INDEX(INDEX,3,)=index_choisi),INDEX(INDEX,,),0)),"")</f>
        <v>137.5</v>
      </c>
      <c r="D112" s="94" cm="1">
        <f t="array" ref="D112">IF(A112&lt;=DATE2,SUM(IF((INDEX(INDICES,,1)=A112)*(INDEX(INDICES,5,)="Matériel"),INDEX(INDICES,,),0)),"")</f>
        <v>127.6</v>
      </c>
      <c r="E112" s="94" cm="1">
        <f t="array" ref="E112">IF(A112&lt;=DATE2,SUM(IF((INDEX(INDICES,,1)=A112)*(INDEX(INDICES,5,)="Travail"),INDEX(INDICES,,),0)),"")</f>
        <v>142.19999999999999</v>
      </c>
      <c r="F112" s="94" cm="1">
        <f t="array" ref="F112">IF(A112&lt;=DATE2,SUM(IF((INDEX(INDICES,,1)=A112)*(INDEX(INDICES,5,)="GNR pour les Travaux Publics"),INDEX(INDICES,,),0)),"")</f>
        <v>159</v>
      </c>
      <c r="G112" s="94" cm="1">
        <f t="array" ref="G112">IF(A112&lt;=DATE2,SUM(IF((INDEX(INDICES,,1)=A112)*(INDEX(INDICES,5,)=indice_compo_max),INDEX(INDICES,,),0)),"")</f>
        <v>133.4</v>
      </c>
      <c r="H112" s="94" cm="1">
        <f t="array" ref="H112">IF(A112&lt;=DATE2,SUM(IF((INDEX(INDICES,,1)=A112)*(INDEX(INDICES,5,)=indice_compo_max2),INDEX(INDICES,,),0)),"")</f>
        <v>85.4</v>
      </c>
    </row>
    <row r="113" spans="1:8">
      <c r="A113" s="95">
        <f t="shared" si="2"/>
        <v>46054</v>
      </c>
      <c r="B113" s="94" cm="1">
        <f t="array" ref="B113">IF(A113&lt;=DATE2,SUM(IF((INDEX(INDEX,,1)=A113)*(INDEX(INDEX,3,)="TP01"),INDEX(INDEX,,),0)),"")</f>
        <v>132.19999999999999</v>
      </c>
      <c r="C113" s="94" cm="1">
        <f t="array" ref="C113">IF(A113&lt;=DATE2,SUM(IF((INDEX(INDEX,,1)=A113)*(INDEX(INDEX,3,)=index_choisi),INDEX(INDEX,,),0)),"")</f>
        <v>137.5</v>
      </c>
      <c r="D113" s="94" cm="1">
        <f t="array" ref="D113">IF(A113&lt;=DATE2,SUM(IF((INDEX(INDICES,,1)=A113)*(INDEX(INDICES,5,)="Matériel"),INDEX(INDICES,,),0)),"")</f>
        <v>125.9</v>
      </c>
      <c r="E113" s="94" cm="1">
        <f t="array" ref="E113">IF(A113&lt;=DATE2,SUM(IF((INDEX(INDICES,,1)=A113)*(INDEX(INDICES,5,)="Travail"),INDEX(INDICES,,),0)),"")</f>
        <v>142.6</v>
      </c>
      <c r="F113" s="94" cm="1">
        <f t="array" ref="F113">IF(A113&lt;=DATE2,SUM(IF((INDEX(INDICES,,1)=A113)*(INDEX(INDICES,5,)="GNR pour les Travaux Publics"),INDEX(INDICES,,),0)),"")</f>
        <v>162.4</v>
      </c>
      <c r="G113" s="94" cm="1">
        <f t="array" ref="G113">IF(A113&lt;=DATE2,SUM(IF((INDEX(INDICES,,1)=A113)*(INDEX(INDICES,5,)=indice_compo_max),INDEX(INDICES,,),0)),"")</f>
        <v>133.4</v>
      </c>
      <c r="H113" s="94" cm="1">
        <f t="array" ref="H113">IF(A113&lt;=DATE2,SUM(IF((INDEX(INDICES,,1)=A113)*(INDEX(INDICES,5,)=indice_compo_max2),INDEX(INDICES,,),0)),"")</f>
        <v>85.9</v>
      </c>
    </row>
    <row r="114" spans="1:8">
      <c r="A114" s="95">
        <f t="shared" si="2"/>
        <v>46082</v>
      </c>
      <c r="B114" s="94" cm="1">
        <f t="array" ref="B114">IF(A114&lt;=DATE2,SUM(IF((INDEX(INDEX,,1)=A114)*(INDEX(INDEX,3,)="TP01"),INDEX(INDEX,,),0)),"")</f>
        <v>136.30000000000001</v>
      </c>
      <c r="C114" s="94" cm="1">
        <f t="array" ref="C114">IF(A114&lt;=DATE2,SUM(IF((INDEX(INDEX,,1)=A114)*(INDEX(INDEX,3,)=index_choisi),INDEX(INDEX,,),0)),"")</f>
        <v>138.9</v>
      </c>
      <c r="D114" s="94" cm="1">
        <f t="array" ref="D114">IF(A114&lt;=DATE2,SUM(IF((INDEX(INDICES,,1)=A114)*(INDEX(INDICES,5,)="Matériel"),INDEX(INDICES,,),0)),"")</f>
        <v>126.5</v>
      </c>
      <c r="E114" s="94" cm="1">
        <f t="array" ref="E114">IF(A114&lt;=DATE2,SUM(IF((INDEX(INDICES,,1)=A114)*(INDEX(INDICES,5,)="Travail"),INDEX(INDICES,,),0)),"")</f>
        <v>143</v>
      </c>
      <c r="F114" s="94" cm="1">
        <f t="array" ref="F114">IF(A114&lt;=DATE2,SUM(IF((INDEX(INDICES,,1)=A114)*(INDEX(INDICES,5,)="GNR pour les Travaux Publics"),INDEX(INDICES,,),0)),"")</f>
        <v>224.3</v>
      </c>
      <c r="G114" s="94" cm="1">
        <f t="array" ref="G114">IF(A114&lt;=DATE2,SUM(IF((INDEX(INDICES,,1)=A114)*(INDEX(INDICES,5,)=indice_compo_max),INDEX(INDICES,,),0)),"")</f>
        <v>133.69999999999999</v>
      </c>
      <c r="H114" s="94" cm="1">
        <f t="array" ref="H114">IF(A114&lt;=DATE2,SUM(IF((INDEX(INDICES,,1)=A114)*(INDEX(INDICES,5,)=indice_compo_max2),INDEX(INDICES,,),0)),"")</f>
        <v>87.6</v>
      </c>
    </row>
    <row r="115" spans="1:8">
      <c r="A115" s="95">
        <f t="shared" si="2"/>
        <v>46113</v>
      </c>
      <c r="B115" s="94" cm="1">
        <f t="array" ref="B115">IF(A115&lt;=DATE2,SUM(IF((INDEX(INDEX,,1)=A115)*(INDEX(INDEX,3,)="TP01"),INDEX(INDEX,,),0)),"")</f>
        <v>141</v>
      </c>
      <c r="C115" s="94" cm="1">
        <f t="array" ref="C115">IF(A115&lt;=DATE2,SUM(IF((INDEX(INDEX,,1)=A115)*(INDEX(INDEX,3,)=index_choisi),INDEX(INDEX,,),0)),"")</f>
        <v>140.69999999999999</v>
      </c>
      <c r="D115" s="94" cm="1">
        <f t="array" ref="D115">IF(A115&lt;=DATE2,SUM(IF((INDEX(INDICES,,1)=A115)*(INDEX(INDICES,5,)="Matériel"),INDEX(INDICES,,),0)),"")</f>
        <v>128.1</v>
      </c>
      <c r="E115" s="94" cm="1">
        <f t="array" ref="E115">IF(A115&lt;=DATE2,SUM(IF((INDEX(INDICES,,1)=A115)*(INDEX(INDICES,5,)="Travail"),INDEX(INDICES,,),0)),"")</f>
        <v>143</v>
      </c>
      <c r="F115" s="94" cm="1">
        <f t="array" ref="F115">IF(A115&lt;=DATE2,SUM(IF((INDEX(INDICES,,1)=A115)*(INDEX(INDICES,5,)="GNR pour les Travaux Publics"),INDEX(INDICES,,),0)),"")</f>
        <v>230.3</v>
      </c>
      <c r="G115" s="94" cm="1">
        <f t="array" ref="G115">IF(A115&lt;=DATE2,SUM(IF((INDEX(INDICES,,1)=A115)*(INDEX(INDICES,5,)=indice_compo_max),INDEX(INDICES,,),0)),"")</f>
        <v>137.5</v>
      </c>
      <c r="H115" s="94" cm="1">
        <f t="array" ref="H115">IF(A115&lt;=DATE2,SUM(IF((INDEX(INDICES,,1)=A115)*(INDEX(INDICES,5,)=indice_compo_max2),INDEX(INDICES,,),0)),"")</f>
        <v>91.3</v>
      </c>
    </row>
    <row r="116" spans="1:8">
      <c r="A116" s="95">
        <f t="shared" si="2"/>
        <v>46143</v>
      </c>
      <c r="B116" s="94" cm="1">
        <f t="array" ref="B116">IF(A116&lt;=DATE2,SUM(IF((INDEX(INDEX,,1)=A116)*(INDEX(INDEX,3,)="TP01"),INDEX(INDEX,,),0)),"")</f>
        <v>140.4</v>
      </c>
      <c r="C116" s="94" cm="1">
        <f t="array" ref="C116">IF(A116&lt;=DATE2,SUM(IF((INDEX(INDEX,,1)=A116)*(INDEX(INDEX,3,)=index_choisi),INDEX(INDEX,,),0)),"")</f>
        <v>141</v>
      </c>
      <c r="D116" s="94" cm="1">
        <f t="array" ref="D116">IF(A116&lt;=DATE2,SUM(IF((INDEX(INDICES,,1)=A116)*(INDEX(INDICES,5,)="Matériel"),INDEX(INDICES,,),0)),"")</f>
        <v>127.8</v>
      </c>
      <c r="E116" s="94" cm="1">
        <f t="array" ref="E116">IF(A116&lt;=DATE2,SUM(IF((INDEX(INDICES,,1)=A116)*(INDEX(INDICES,5,)="Travail"),INDEX(INDICES,,),0)),"")</f>
        <v>143</v>
      </c>
      <c r="F116" s="94" cm="1">
        <f t="array" ref="F116">IF(A116&lt;=DATE2,SUM(IF((INDEX(INDICES,,1)=A116)*(INDEX(INDICES,5,)="GNR pour les Travaux Publics"),INDEX(INDICES,,),0)),"")</f>
        <v>212.8</v>
      </c>
      <c r="G116" s="94" cm="1">
        <f t="array" ref="G116">IF(A116&lt;=DATE2,SUM(IF((INDEX(INDICES,,1)=A116)*(INDEX(INDICES,5,)=indice_compo_max),INDEX(INDICES,,),0)),"")</f>
        <v>136.5</v>
      </c>
      <c r="H116" s="94" cm="1">
        <f t="array" ref="H116">IF(A116&lt;=DATE2,SUM(IF((INDEX(INDICES,,1)=A116)*(INDEX(INDICES,5,)=indice_compo_max2),INDEX(INDICES,,),0)),"")</f>
        <v>95.4</v>
      </c>
    </row>
    <row r="117" spans="1:8">
      <c r="A117" s="95" t="str">
        <f t="shared" si="2"/>
        <v/>
      </c>
      <c r="B117" s="94" t="str" cm="1">
        <f t="array" ref="B117">IF(A117&lt;=DATE2,SUM(IF((INDEX(INDEX,,1)=A117)*(INDEX(INDEX,3,)="TP01"),INDEX(INDEX,,),0)),"")</f>
        <v/>
      </c>
      <c r="C117" s="94" t="str" cm="1">
        <f t="array" ref="C117">IF(A117&lt;=DATE2,SUM(IF((INDEX(INDEX,,1)=A117)*(INDEX(INDEX,3,)=index_choisi),INDEX(INDEX,,),0)),"")</f>
        <v/>
      </c>
      <c r="D117" s="94" t="str" cm="1">
        <f t="array" ref="D117">IF(A117&lt;=DATE2,SUM(IF((INDEX(INDICES,,1)=A117)*(INDEX(INDICES,5,)="Matériel"),INDEX(INDICES,,),0)),"")</f>
        <v/>
      </c>
      <c r="E117" s="94" t="str" cm="1">
        <f t="array" ref="E117">IF(A117&lt;=DATE2,SUM(IF((INDEX(INDICES,,1)=A117)*(INDEX(INDICES,5,)="Travail"),INDEX(INDICES,,),0)),"")</f>
        <v/>
      </c>
      <c r="F117" s="94" t="str" cm="1">
        <f t="array" ref="F117">IF(A117&lt;=DATE2,SUM(IF((INDEX(INDICES,,1)=A117)*(INDEX(INDICES,5,)="GNR pour les Travaux Publics"),INDEX(INDICES,,),0)),"")</f>
        <v/>
      </c>
      <c r="G117" s="94" t="str" cm="1">
        <f t="array" ref="G117">IF(A117&lt;=DATE2,SUM(IF((INDEX(INDICES,,1)=A117)*(INDEX(INDICES,5,)=indice_compo_max),INDEX(INDICES,,),0)),"")</f>
        <v/>
      </c>
      <c r="H117" s="94" t="str" cm="1">
        <f t="array" ref="H117">IF(A117&lt;=DATE2,SUM(IF((INDEX(INDICES,,1)=A117)*(INDEX(INDICES,5,)=indice_compo_max2),INDEX(INDICES,,),0)),"")</f>
        <v/>
      </c>
    </row>
    <row r="118" spans="1:8">
      <c r="A118" s="95" t="str">
        <f t="shared" si="2"/>
        <v/>
      </c>
      <c r="B118" s="94" t="str" cm="1">
        <f t="array" ref="B118">IF(A118&lt;=DATE2,SUM(IF((INDEX(INDEX,,1)=A118)*(INDEX(INDEX,3,)="TP01"),INDEX(INDEX,,),0)),"")</f>
        <v/>
      </c>
      <c r="C118" s="94" t="str" cm="1">
        <f t="array" ref="C118">IF(A118&lt;=DATE2,SUM(IF((INDEX(INDEX,,1)=A118)*(INDEX(INDEX,3,)=index_choisi),INDEX(INDEX,,),0)),"")</f>
        <v/>
      </c>
      <c r="D118" s="94" t="str" cm="1">
        <f t="array" ref="D118">IF(A118&lt;=DATE2,SUM(IF((INDEX(INDICES,,1)=A118)*(INDEX(INDICES,5,)="Matériel"),INDEX(INDICES,,),0)),"")</f>
        <v/>
      </c>
      <c r="E118" s="94" t="str" cm="1">
        <f t="array" ref="E118">IF(A118&lt;=DATE2,SUM(IF((INDEX(INDICES,,1)=A118)*(INDEX(INDICES,5,)="Travail"),INDEX(INDICES,,),0)),"")</f>
        <v/>
      </c>
      <c r="F118" s="94" t="str" cm="1">
        <f t="array" ref="F118">IF(A118&lt;=DATE2,SUM(IF((INDEX(INDICES,,1)=A118)*(INDEX(INDICES,5,)="GNR pour les Travaux Publics"),INDEX(INDICES,,),0)),"")</f>
        <v/>
      </c>
      <c r="G118" s="94" t="str" cm="1">
        <f t="array" ref="G118">IF(A118&lt;=DATE2,SUM(IF((INDEX(INDICES,,1)=A118)*(INDEX(INDICES,5,)=indice_compo_max),INDEX(INDICES,,),0)),"")</f>
        <v/>
      </c>
      <c r="H118" s="94" t="str" cm="1">
        <f t="array" ref="H118">IF(A118&lt;=DATE2,SUM(IF((INDEX(INDICES,,1)=A118)*(INDEX(INDICES,5,)=indice_compo_max2),INDEX(INDICES,,),0)),"")</f>
        <v/>
      </c>
    </row>
    <row r="119" spans="1:8">
      <c r="A119" s="95" t="str">
        <f t="shared" si="2"/>
        <v/>
      </c>
      <c r="B119" s="94" t="str" cm="1">
        <f t="array" ref="B119">IF(A119&lt;=DATE2,SUM(IF((INDEX(INDEX,,1)=A119)*(INDEX(INDEX,3,)="TP01"),INDEX(INDEX,,),0)),"")</f>
        <v/>
      </c>
      <c r="C119" s="94" t="str" cm="1">
        <f t="array" ref="C119">IF(A119&lt;=DATE2,SUM(IF((INDEX(INDEX,,1)=A119)*(INDEX(INDEX,3,)=index_choisi),INDEX(INDEX,,),0)),"")</f>
        <v/>
      </c>
      <c r="D119" s="94" t="str" cm="1">
        <f t="array" ref="D119">IF(A119&lt;=DATE2,SUM(IF((INDEX(INDICES,,1)=A119)*(INDEX(INDICES,5,)="Matériel"),INDEX(INDICES,,),0)),"")</f>
        <v/>
      </c>
      <c r="E119" s="94" t="str" cm="1">
        <f t="array" ref="E119">IF(A119&lt;=DATE2,SUM(IF((INDEX(INDICES,,1)=A119)*(INDEX(INDICES,5,)="Travail"),INDEX(INDICES,,),0)),"")</f>
        <v/>
      </c>
      <c r="F119" s="94" t="str" cm="1">
        <f t="array" ref="F119">IF(A119&lt;=DATE2,SUM(IF((INDEX(INDICES,,1)=A119)*(INDEX(INDICES,5,)="GNR pour les Travaux Publics"),INDEX(INDICES,,),0)),"")</f>
        <v/>
      </c>
      <c r="G119" s="94" t="str" cm="1">
        <f t="array" ref="G119">IF(A119&lt;=DATE2,SUM(IF((INDEX(INDICES,,1)=A119)*(INDEX(INDICES,5,)=indice_compo_max),INDEX(INDICES,,),0)),"")</f>
        <v/>
      </c>
      <c r="H119" s="94" t="str" cm="1">
        <f t="array" ref="H119">IF(A119&lt;=DATE2,SUM(IF((INDEX(INDICES,,1)=A119)*(INDEX(INDICES,5,)=indice_compo_max2),INDEX(INDICES,,),0)),"")</f>
        <v/>
      </c>
    </row>
    <row r="120" spans="1:8">
      <c r="A120" s="95" t="str">
        <f t="shared" si="2"/>
        <v/>
      </c>
      <c r="B120" s="94" t="str" cm="1">
        <f t="array" ref="B120">IF(A120&lt;=DATE2,SUM(IF((INDEX(INDEX,,1)=A120)*(INDEX(INDEX,3,)="TP01"),INDEX(INDEX,,),0)),"")</f>
        <v/>
      </c>
      <c r="C120" s="94" t="str" cm="1">
        <f t="array" ref="C120">IF(A120&lt;=DATE2,SUM(IF((INDEX(INDEX,,1)=A120)*(INDEX(INDEX,3,)=index_choisi),INDEX(INDEX,,),0)),"")</f>
        <v/>
      </c>
      <c r="D120" s="94" t="str" cm="1">
        <f t="array" ref="D120">IF(A120&lt;=DATE2,SUM(IF((INDEX(INDICES,,1)=A120)*(INDEX(INDICES,5,)="Matériel"),INDEX(INDICES,,),0)),"")</f>
        <v/>
      </c>
      <c r="E120" s="94" t="str" cm="1">
        <f t="array" ref="E120">IF(A120&lt;=DATE2,SUM(IF((INDEX(INDICES,,1)=A120)*(INDEX(INDICES,5,)="Travail"),INDEX(INDICES,,),0)),"")</f>
        <v/>
      </c>
      <c r="F120" s="94" t="str" cm="1">
        <f t="array" ref="F120">IF(A120&lt;=DATE2,SUM(IF((INDEX(INDICES,,1)=A120)*(INDEX(INDICES,5,)="GNR pour les Travaux Publics"),INDEX(INDICES,,),0)),"")</f>
        <v/>
      </c>
      <c r="G120" s="94" t="str" cm="1">
        <f t="array" ref="G120">IF(A120&lt;=DATE2,SUM(IF((INDEX(INDICES,,1)=A120)*(INDEX(INDICES,5,)=indice_compo_max),INDEX(INDICES,,),0)),"")</f>
        <v/>
      </c>
      <c r="H120" s="94" t="str" cm="1">
        <f t="array" ref="H120">IF(A120&lt;=DATE2,SUM(IF((INDEX(INDICES,,1)=A120)*(INDEX(INDICES,5,)=indice_compo_max2),INDEX(INDICES,,),0)),"")</f>
        <v/>
      </c>
    </row>
    <row r="121" spans="1:8">
      <c r="A121" s="95" t="str">
        <f t="shared" si="2"/>
        <v/>
      </c>
      <c r="B121" s="94" t="str" cm="1">
        <f t="array" ref="B121">IF(A121&lt;=DATE2,SUM(IF((INDEX(INDEX,,1)=A121)*(INDEX(INDEX,3,)="TP01"),INDEX(INDEX,,),0)),"")</f>
        <v/>
      </c>
      <c r="C121" s="94" t="str" cm="1">
        <f t="array" ref="C121">IF(A121&lt;=DATE2,SUM(IF((INDEX(INDEX,,1)=A121)*(INDEX(INDEX,3,)=index_choisi),INDEX(INDEX,,),0)),"")</f>
        <v/>
      </c>
      <c r="D121" s="94" t="str" cm="1">
        <f t="array" ref="D121">IF(A121&lt;=DATE2,SUM(IF((INDEX(INDICES,,1)=A121)*(INDEX(INDICES,5,)="Matériel"),INDEX(INDICES,,),0)),"")</f>
        <v/>
      </c>
      <c r="E121" s="94" t="str" cm="1">
        <f t="array" ref="E121">IF(A121&lt;=DATE2,SUM(IF((INDEX(INDICES,,1)=A121)*(INDEX(INDICES,5,)="Travail"),INDEX(INDICES,,),0)),"")</f>
        <v/>
      </c>
      <c r="F121" s="94" t="str" cm="1">
        <f t="array" ref="F121">IF(A121&lt;=DATE2,SUM(IF((INDEX(INDICES,,1)=A121)*(INDEX(INDICES,5,)="GNR pour les Travaux Publics"),INDEX(INDICES,,),0)),"")</f>
        <v/>
      </c>
      <c r="G121" s="94" t="str" cm="1">
        <f t="array" ref="G121">IF(A121&lt;=DATE2,SUM(IF((INDEX(INDICES,,1)=A121)*(INDEX(INDICES,5,)=indice_compo_max),INDEX(INDICES,,),0)),"")</f>
        <v/>
      </c>
      <c r="H121" s="94" t="str" cm="1">
        <f t="array" ref="H121">IF(A121&lt;=DATE2,SUM(IF((INDEX(INDICES,,1)=A121)*(INDEX(INDICES,5,)=indice_compo_max2),INDEX(INDICES,,),0)),"")</f>
        <v/>
      </c>
    </row>
    <row r="122" spans="1:8">
      <c r="A122" s="95" t="str">
        <f t="shared" si="2"/>
        <v/>
      </c>
      <c r="B122" s="94" t="str" cm="1">
        <f t="array" ref="B122">IF(A122&lt;=DATE2,SUM(IF((INDEX(INDEX,,1)=A122)*(INDEX(INDEX,3,)="TP01"),INDEX(INDEX,,),0)),"")</f>
        <v/>
      </c>
      <c r="C122" s="94" t="str" cm="1">
        <f t="array" ref="C122">IF(A122&lt;=DATE2,SUM(IF((INDEX(INDEX,,1)=A122)*(INDEX(INDEX,3,)=index_choisi),INDEX(INDEX,,),0)),"")</f>
        <v/>
      </c>
      <c r="D122" s="94" t="str" cm="1">
        <f t="array" ref="D122">IF(A122&lt;=DATE2,SUM(IF((INDEX(INDICES,,1)=A122)*(INDEX(INDICES,5,)="Matériel"),INDEX(INDICES,,),0)),"")</f>
        <v/>
      </c>
      <c r="E122" s="94" t="str" cm="1">
        <f t="array" ref="E122">IF(A122&lt;=DATE2,SUM(IF((INDEX(INDICES,,1)=A122)*(INDEX(INDICES,5,)="Travail"),INDEX(INDICES,,),0)),"")</f>
        <v/>
      </c>
      <c r="F122" s="94" t="str" cm="1">
        <f t="array" ref="F122">IF(A122&lt;=DATE2,SUM(IF((INDEX(INDICES,,1)=A122)*(INDEX(INDICES,5,)="GNR pour les Travaux Publics"),INDEX(INDICES,,),0)),"")</f>
        <v/>
      </c>
      <c r="G122" s="94" t="str" cm="1">
        <f t="array" ref="G122">IF(A122&lt;=DATE2,SUM(IF((INDEX(INDICES,,1)=A122)*(INDEX(INDICES,5,)=indice_compo_max),INDEX(INDICES,,),0)),"")</f>
        <v/>
      </c>
      <c r="H122" s="94" t="str" cm="1">
        <f t="array" ref="H122">IF(A122&lt;=DATE2,SUM(IF((INDEX(INDICES,,1)=A122)*(INDEX(INDICES,5,)=indice_compo_max2),INDEX(INDICES,,),0)),"")</f>
        <v/>
      </c>
    </row>
    <row r="123" spans="1:8">
      <c r="A123" s="95" t="str">
        <f t="shared" si="2"/>
        <v/>
      </c>
      <c r="B123" s="94" t="str" cm="1">
        <f t="array" ref="B123">IF(A123&lt;=DATE2,SUM(IF((INDEX(INDEX,,1)=A123)*(INDEX(INDEX,3,)="TP01"),INDEX(INDEX,,),0)),"")</f>
        <v/>
      </c>
      <c r="C123" s="94" t="str" cm="1">
        <f t="array" ref="C123">IF(A123&lt;=DATE2,SUM(IF((INDEX(INDEX,,1)=A123)*(INDEX(INDEX,3,)=index_choisi),INDEX(INDEX,,),0)),"")</f>
        <v/>
      </c>
      <c r="D123" s="94" t="str" cm="1">
        <f t="array" ref="D123">IF(A123&lt;=DATE2,SUM(IF((INDEX(INDICES,,1)=A123)*(INDEX(INDICES,5,)="Matériel"),INDEX(INDICES,,),0)),"")</f>
        <v/>
      </c>
      <c r="E123" s="94" t="str" cm="1">
        <f t="array" ref="E123">IF(A123&lt;=DATE2,SUM(IF((INDEX(INDICES,,1)=A123)*(INDEX(INDICES,5,)="Travail"),INDEX(INDICES,,),0)),"")</f>
        <v/>
      </c>
      <c r="F123" s="94" t="str" cm="1">
        <f t="array" ref="F123">IF(A123&lt;=DATE2,SUM(IF((INDEX(INDICES,,1)=A123)*(INDEX(INDICES,5,)="GNR pour les Travaux Publics"),INDEX(INDICES,,),0)),"")</f>
        <v/>
      </c>
      <c r="G123" s="94" t="str" cm="1">
        <f t="array" ref="G123">IF(A123&lt;=DATE2,SUM(IF((INDEX(INDICES,,1)=A123)*(INDEX(INDICES,5,)=indice_compo_max),INDEX(INDICES,,),0)),"")</f>
        <v/>
      </c>
      <c r="H123" s="94" t="str" cm="1">
        <f t="array" ref="H123">IF(A123&lt;=DATE2,SUM(IF((INDEX(INDICES,,1)=A123)*(INDEX(INDICES,5,)=indice_compo_max2),INDEX(INDICES,,),0)),"")</f>
        <v/>
      </c>
    </row>
    <row r="124" spans="1:8">
      <c r="A124" s="95" t="str">
        <f t="shared" si="2"/>
        <v/>
      </c>
      <c r="B124" s="94" t="str" cm="1">
        <f t="array" ref="B124">IF(A124&lt;=DATE2,SUM(IF((INDEX(INDEX,,1)=A124)*(INDEX(INDEX,3,)="TP01"),INDEX(INDEX,,),0)),"")</f>
        <v/>
      </c>
      <c r="C124" s="94" t="str" cm="1">
        <f t="array" ref="C124">IF(A124&lt;=DATE2,SUM(IF((INDEX(INDEX,,1)=A124)*(INDEX(INDEX,3,)=index_choisi),INDEX(INDEX,,),0)),"")</f>
        <v/>
      </c>
      <c r="D124" s="94" t="str" cm="1">
        <f t="array" ref="D124">IF(A124&lt;=DATE2,SUM(IF((INDEX(INDICES,,1)=A124)*(INDEX(INDICES,5,)="Matériel"),INDEX(INDICES,,),0)),"")</f>
        <v/>
      </c>
      <c r="E124" s="94" t="str" cm="1">
        <f t="array" ref="E124">IF(A124&lt;=DATE2,SUM(IF((INDEX(INDICES,,1)=A124)*(INDEX(INDICES,5,)="Travail"),INDEX(INDICES,,),0)),"")</f>
        <v/>
      </c>
      <c r="F124" s="94" t="str" cm="1">
        <f t="array" ref="F124">IF(A124&lt;=DATE2,SUM(IF((INDEX(INDICES,,1)=A124)*(INDEX(INDICES,5,)="GNR pour les Travaux Publics"),INDEX(INDICES,,),0)),"")</f>
        <v/>
      </c>
      <c r="G124" s="94" t="str" cm="1">
        <f t="array" ref="G124">IF(A124&lt;=DATE2,SUM(IF((INDEX(INDICES,,1)=A124)*(INDEX(INDICES,5,)=indice_compo_max),INDEX(INDICES,,),0)),"")</f>
        <v/>
      </c>
      <c r="H124" s="94" t="str" cm="1">
        <f t="array" ref="H124">IF(A124&lt;=DATE2,SUM(IF((INDEX(INDICES,,1)=A124)*(INDEX(INDICES,5,)=indice_compo_max2),INDEX(INDICES,,),0)),"")</f>
        <v/>
      </c>
    </row>
    <row r="125" spans="1:8">
      <c r="A125" s="95" t="str">
        <f t="shared" si="2"/>
        <v/>
      </c>
      <c r="B125" s="94" t="str" cm="1">
        <f t="array" ref="B125">IF(A125&lt;=DATE2,SUM(IF((INDEX(INDEX,,1)=A125)*(INDEX(INDEX,3,)="TP01"),INDEX(INDEX,,),0)),"")</f>
        <v/>
      </c>
      <c r="C125" s="94" t="str" cm="1">
        <f t="array" ref="C125">IF(A125&lt;=DATE2,SUM(IF((INDEX(INDEX,,1)=A125)*(INDEX(INDEX,3,)=index_choisi),INDEX(INDEX,,),0)),"")</f>
        <v/>
      </c>
      <c r="D125" s="94" t="str" cm="1">
        <f t="array" ref="D125">IF(A125&lt;=DATE2,SUM(IF((INDEX(INDICES,,1)=A125)*(INDEX(INDICES,5,)="Matériel"),INDEX(INDICES,,),0)),"")</f>
        <v/>
      </c>
      <c r="E125" s="94" t="str" cm="1">
        <f t="array" ref="E125">IF(A125&lt;=DATE2,SUM(IF((INDEX(INDICES,,1)=A125)*(INDEX(INDICES,5,)="Travail"),INDEX(INDICES,,),0)),"")</f>
        <v/>
      </c>
      <c r="F125" s="94" t="str" cm="1">
        <f t="array" ref="F125">IF(A125&lt;=DATE2,SUM(IF((INDEX(INDICES,,1)=A125)*(INDEX(INDICES,5,)="GNR pour les Travaux Publics"),INDEX(INDICES,,),0)),"")</f>
        <v/>
      </c>
      <c r="G125" s="94" t="str" cm="1">
        <f t="array" ref="G125">IF(A125&lt;=DATE2,SUM(IF((INDEX(INDICES,,1)=A125)*(INDEX(INDICES,5,)=indice_compo_max),INDEX(INDICES,,),0)),"")</f>
        <v/>
      </c>
      <c r="H125" s="94" t="str" cm="1">
        <f t="array" ref="H125">IF(A125&lt;=DATE2,SUM(IF((INDEX(INDICES,,1)=A125)*(INDEX(INDICES,5,)=indice_compo_max2),INDEX(INDICES,,),0)),"")</f>
        <v/>
      </c>
    </row>
    <row r="126" spans="1:8">
      <c r="A126" s="95" t="str">
        <f t="shared" si="2"/>
        <v/>
      </c>
      <c r="B126" s="94" t="str" cm="1">
        <f t="array" ref="B126">IF(A126&lt;=DATE2,SUM(IF((INDEX(INDEX,,1)=A126)*(INDEX(INDEX,3,)="TP01"),INDEX(INDEX,,),0)),"")</f>
        <v/>
      </c>
      <c r="C126" s="94" t="str" cm="1">
        <f t="array" ref="C126">IF(A126&lt;=DATE2,SUM(IF((INDEX(INDEX,,1)=A126)*(INDEX(INDEX,3,)=index_choisi),INDEX(INDEX,,),0)),"")</f>
        <v/>
      </c>
      <c r="D126" s="94" t="str" cm="1">
        <f t="array" ref="D126">IF(A126&lt;=DATE2,SUM(IF((INDEX(INDICES,,1)=A126)*(INDEX(INDICES,5,)="Matériel"),INDEX(INDICES,,),0)),"")</f>
        <v/>
      </c>
      <c r="E126" s="94" t="str" cm="1">
        <f t="array" ref="E126">IF(A126&lt;=DATE2,SUM(IF((INDEX(INDICES,,1)=A126)*(INDEX(INDICES,5,)="Travail"),INDEX(INDICES,,),0)),"")</f>
        <v/>
      </c>
      <c r="F126" s="94" t="str" cm="1">
        <f t="array" ref="F126">IF(A126&lt;=DATE2,SUM(IF((INDEX(INDICES,,1)=A126)*(INDEX(INDICES,5,)="GNR pour les Travaux Publics"),INDEX(INDICES,,),0)),"")</f>
        <v/>
      </c>
      <c r="G126" s="94" t="str" cm="1">
        <f t="array" ref="G126">IF(A126&lt;=DATE2,SUM(IF((INDEX(INDICES,,1)=A126)*(INDEX(INDICES,5,)=indice_compo_max),INDEX(INDICES,,),0)),"")</f>
        <v/>
      </c>
      <c r="H126" s="94" t="str" cm="1">
        <f t="array" ref="H126">IF(A126&lt;=DATE2,SUM(IF((INDEX(INDICES,,1)=A126)*(INDEX(INDICES,5,)=indice_compo_max2),INDEX(INDICES,,),0)),"")</f>
        <v/>
      </c>
    </row>
  </sheetData>
  <sheetProtection algorithmName="SHA-512" hashValue="U3Q1/sfb6vv3ZaTqWmY/w9eNCpAZpOT4Orur9bHcWmxofdtPiLnCgG2s0y4rvE6i1EW9dKHq7tPNsbkPpRBQVw==" saltValue="wQ4DMw3VvoCHRdGxPjrtnQ==" spinCount="100000" sheet="1" selectLockedCells="1" selectUnlockedCells="1"/>
  <autoFilter ref="B14:H102" xr:uid="{D0819060-A7A3-46B6-8F09-7435B4B0354F}"/>
  <mergeCells count="2">
    <mergeCell ref="U14:W14"/>
    <mergeCell ref="Q14:S14"/>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D7BBE-5BD0-43C4-BC73-18250B9570D3}">
  <sheetPr codeName="Feuil6">
    <tabColor rgb="FF92D050"/>
  </sheetPr>
  <dimension ref="A1:AA83"/>
  <sheetViews>
    <sheetView workbookViewId="0">
      <pane xSplit="1" ySplit="4" topLeftCell="B5" activePane="bottomRight" state="frozen"/>
      <selection activeCell="K37" sqref="K37"/>
      <selection pane="topRight" activeCell="K37" sqref="K37"/>
      <selection pane="bottomLeft" activeCell="K37" sqref="K37"/>
      <selection pane="bottomRight" activeCell="C13" sqref="C13"/>
    </sheetView>
  </sheetViews>
  <sheetFormatPr baseColWidth="10" defaultRowHeight="15"/>
  <cols>
    <col min="1" max="1" width="10.7109375" style="95" bestFit="1" customWidth="1"/>
  </cols>
  <sheetData>
    <row r="1" spans="1:27" ht="15" customHeight="1">
      <c r="B1" s="238" t="s">
        <v>195</v>
      </c>
      <c r="C1" s="238"/>
      <c r="D1" s="238"/>
      <c r="E1" s="238"/>
      <c r="F1" s="238"/>
    </row>
    <row r="2" spans="1:27" ht="15" customHeight="1">
      <c r="B2" s="239"/>
      <c r="C2" s="239"/>
      <c r="D2" s="239"/>
      <c r="E2" s="239"/>
      <c r="F2" s="239"/>
    </row>
    <row r="3" spans="1:27">
      <c r="B3" s="116" t="s">
        <v>203</v>
      </c>
      <c r="C3" s="177" t="s">
        <v>204</v>
      </c>
      <c r="D3" t="s">
        <v>205</v>
      </c>
      <c r="E3" t="s">
        <v>254</v>
      </c>
      <c r="F3" s="116" t="s">
        <v>206</v>
      </c>
      <c r="G3" s="116" t="s">
        <v>207</v>
      </c>
      <c r="H3" s="116" t="s">
        <v>208</v>
      </c>
      <c r="I3" s="116" t="s">
        <v>209</v>
      </c>
      <c r="J3" s="116" t="s">
        <v>210</v>
      </c>
      <c r="K3" s="116" t="s">
        <v>211</v>
      </c>
      <c r="L3" s="116" t="s">
        <v>212</v>
      </c>
      <c r="M3" s="116" t="s">
        <v>213</v>
      </c>
      <c r="N3" t="s">
        <v>214</v>
      </c>
      <c r="O3" t="s">
        <v>215</v>
      </c>
      <c r="P3" t="s">
        <v>216</v>
      </c>
      <c r="Q3" t="s">
        <v>314</v>
      </c>
      <c r="R3" t="s">
        <v>311</v>
      </c>
      <c r="S3" s="177" t="s">
        <v>217</v>
      </c>
      <c r="T3" s="116" t="s">
        <v>218</v>
      </c>
      <c r="U3" s="177" t="s">
        <v>219</v>
      </c>
      <c r="V3" t="s">
        <v>220</v>
      </c>
      <c r="W3" s="177" t="s">
        <v>221</v>
      </c>
      <c r="X3" s="177" t="s">
        <v>312</v>
      </c>
      <c r="Y3" s="177" t="s">
        <v>313</v>
      </c>
    </row>
    <row r="4" spans="1:27">
      <c r="A4" s="111"/>
      <c r="B4" t="s">
        <v>19</v>
      </c>
      <c r="C4" t="s">
        <v>20</v>
      </c>
      <c r="D4" t="s">
        <v>21</v>
      </c>
      <c r="E4" t="s">
        <v>22</v>
      </c>
      <c r="F4" t="s">
        <v>23</v>
      </c>
      <c r="G4" t="s">
        <v>24</v>
      </c>
      <c r="H4" t="s">
        <v>25</v>
      </c>
      <c r="I4" t="s">
        <v>26</v>
      </c>
      <c r="J4" t="s">
        <v>27</v>
      </c>
      <c r="K4" t="s">
        <v>28</v>
      </c>
      <c r="L4" t="s">
        <v>29</v>
      </c>
      <c r="M4" t="s">
        <v>30</v>
      </c>
      <c r="N4" t="s">
        <v>31</v>
      </c>
      <c r="O4" t="s">
        <v>32</v>
      </c>
      <c r="P4" t="s">
        <v>33</v>
      </c>
      <c r="Q4" t="s">
        <v>269</v>
      </c>
      <c r="R4" t="s">
        <v>270</v>
      </c>
      <c r="S4" t="s">
        <v>34</v>
      </c>
      <c r="T4" t="s">
        <v>35</v>
      </c>
      <c r="U4" t="s">
        <v>36</v>
      </c>
      <c r="V4" t="s">
        <v>37</v>
      </c>
      <c r="W4" t="s">
        <v>38</v>
      </c>
      <c r="X4" t="s">
        <v>271</v>
      </c>
      <c r="Y4" t="s">
        <v>272</v>
      </c>
    </row>
    <row r="5" spans="1:27" ht="18.75">
      <c r="B5" s="240" t="s">
        <v>199</v>
      </c>
      <c r="C5" s="240"/>
      <c r="D5" s="240"/>
      <c r="E5" s="240"/>
    </row>
    <row r="6" spans="1:27">
      <c r="B6" s="236" t="s">
        <v>192</v>
      </c>
      <c r="C6" s="236"/>
      <c r="D6" s="236"/>
    </row>
    <row r="7" spans="1:27">
      <c r="A7" s="104" cm="1">
        <f t="array" ref="A7:Y7">INDEX(INDEX,MATCH(DATE(YEAR(DATE3),1,1),INDEX!A:A,0),)</f>
        <v>46023</v>
      </c>
      <c r="B7" s="43">
        <v>131.4</v>
      </c>
      <c r="C7" s="105">
        <v>137.5</v>
      </c>
      <c r="D7" s="43">
        <v>135.1</v>
      </c>
      <c r="E7" s="43">
        <v>119.7</v>
      </c>
      <c r="F7" s="43">
        <v>134.30000000000001</v>
      </c>
      <c r="G7" s="43">
        <v>136.69999999999999</v>
      </c>
      <c r="H7" s="43">
        <v>138</v>
      </c>
      <c r="I7" s="43">
        <v>138.6</v>
      </c>
      <c r="J7" s="43">
        <v>133.5</v>
      </c>
      <c r="K7" s="43">
        <v>136.80000000000001</v>
      </c>
      <c r="L7" s="43">
        <v>127.8</v>
      </c>
      <c r="M7" s="43">
        <v>119.5</v>
      </c>
      <c r="N7" s="43">
        <v>134.4</v>
      </c>
      <c r="O7" s="43">
        <v>129.30000000000001</v>
      </c>
      <c r="P7" s="43">
        <v>127.2</v>
      </c>
      <c r="Q7" s="43">
        <v>130</v>
      </c>
      <c r="R7" s="43">
        <v>131.4</v>
      </c>
      <c r="S7" s="43">
        <v>130.9</v>
      </c>
      <c r="T7" s="43">
        <v>136.4</v>
      </c>
      <c r="U7" s="43">
        <v>129.80000000000001</v>
      </c>
      <c r="V7" s="43">
        <v>131.19999999999999</v>
      </c>
      <c r="W7" s="43">
        <v>127.4</v>
      </c>
      <c r="X7" s="43">
        <v>147.69999999999999</v>
      </c>
      <c r="Y7" s="43">
        <v>139.69999999999999</v>
      </c>
      <c r="Z7" s="43"/>
      <c r="AA7" s="43"/>
    </row>
    <row r="8" spans="1:27">
      <c r="A8" s="106" cm="1">
        <f t="array" ref="A8:Y8">IF(A7&lt;DATE3,INDEX(INDEX,MATCH(EDATE(A7,1),INDEX!A:A,0),),"")</f>
        <v>46054</v>
      </c>
      <c r="B8">
        <v>132.19999999999999</v>
      </c>
      <c r="C8">
        <v>137.5</v>
      </c>
      <c r="D8">
        <v>135.69999999999999</v>
      </c>
      <c r="E8">
        <v>120.1</v>
      </c>
      <c r="F8">
        <v>134.30000000000001</v>
      </c>
      <c r="G8">
        <v>136.6</v>
      </c>
      <c r="H8">
        <v>137.6</v>
      </c>
      <c r="I8">
        <v>139.30000000000001</v>
      </c>
      <c r="J8">
        <v>134</v>
      </c>
      <c r="K8">
        <v>137.5</v>
      </c>
      <c r="L8">
        <v>129.19999999999999</v>
      </c>
      <c r="M8">
        <v>121.7</v>
      </c>
      <c r="N8">
        <v>134.9</v>
      </c>
      <c r="O8">
        <v>129.5</v>
      </c>
      <c r="P8">
        <v>126.3</v>
      </c>
      <c r="Q8">
        <v>130.6</v>
      </c>
      <c r="R8">
        <v>132.1</v>
      </c>
      <c r="S8">
        <v>131.80000000000001</v>
      </c>
      <c r="T8">
        <v>137.6</v>
      </c>
      <c r="U8">
        <v>127.6</v>
      </c>
      <c r="V8">
        <v>130.80000000000001</v>
      </c>
      <c r="W8">
        <v>127.8</v>
      </c>
      <c r="X8">
        <v>148.9</v>
      </c>
      <c r="Y8">
        <v>139.6</v>
      </c>
    </row>
    <row r="9" spans="1:27">
      <c r="A9" s="106" cm="1">
        <f t="array" ref="A9:Y9">IF(A8&lt;DATE3,INDEX(INDEX,MATCH(EDATE(A8,1),INDEX!A:A,0),),"")</f>
        <v>46082</v>
      </c>
      <c r="B9">
        <v>136.30000000000001</v>
      </c>
      <c r="C9">
        <v>138.9</v>
      </c>
      <c r="D9">
        <v>141.6</v>
      </c>
      <c r="E9">
        <v>123.3</v>
      </c>
      <c r="F9">
        <v>137.19999999999999</v>
      </c>
      <c r="G9">
        <v>137.9</v>
      </c>
      <c r="H9">
        <v>138.69999999999999</v>
      </c>
      <c r="I9">
        <v>153.19999999999999</v>
      </c>
      <c r="J9">
        <v>143.4</v>
      </c>
      <c r="K9">
        <v>140.80000000000001</v>
      </c>
      <c r="L9">
        <v>134.1</v>
      </c>
      <c r="M9">
        <v>129.1</v>
      </c>
      <c r="N9">
        <v>136.80000000000001</v>
      </c>
      <c r="O9">
        <v>133.4</v>
      </c>
      <c r="P9">
        <v>130.5</v>
      </c>
      <c r="Q9">
        <v>133.1</v>
      </c>
      <c r="R9">
        <v>134.1</v>
      </c>
      <c r="S9">
        <v>134.80000000000001</v>
      </c>
      <c r="T9">
        <v>139.9</v>
      </c>
      <c r="U9">
        <v>132.19999999999999</v>
      </c>
      <c r="V9">
        <v>132.80000000000001</v>
      </c>
      <c r="W9">
        <v>128.6</v>
      </c>
      <c r="X9">
        <v>150.4</v>
      </c>
      <c r="Y9">
        <v>140.80000000000001</v>
      </c>
    </row>
    <row r="10" spans="1:27">
      <c r="A10" s="106" cm="1">
        <f t="array" ref="A10:Y10">IF(A9&lt;DATE3,INDEX(INDEX,MATCH(EDATE(A9,1),INDEX!A:A,0),),"")</f>
        <v>46113</v>
      </c>
      <c r="B10">
        <v>141</v>
      </c>
      <c r="C10">
        <v>140.69999999999999</v>
      </c>
      <c r="D10">
        <v>144.4</v>
      </c>
      <c r="E10">
        <v>125.6</v>
      </c>
      <c r="F10">
        <v>139.6</v>
      </c>
      <c r="G10">
        <v>140</v>
      </c>
      <c r="H10">
        <v>140.4</v>
      </c>
      <c r="I10">
        <v>159.9</v>
      </c>
      <c r="J10">
        <v>146.30000000000001</v>
      </c>
      <c r="K10">
        <v>144</v>
      </c>
      <c r="L10">
        <v>141.4</v>
      </c>
      <c r="M10">
        <v>143.9</v>
      </c>
      <c r="N10">
        <v>138.6</v>
      </c>
      <c r="O10">
        <v>146.69999999999999</v>
      </c>
      <c r="P10">
        <v>131.5</v>
      </c>
      <c r="Q10">
        <v>134.69999999999999</v>
      </c>
      <c r="R10">
        <v>137.19999999999999</v>
      </c>
      <c r="S10">
        <v>135.69999999999999</v>
      </c>
      <c r="T10">
        <v>142.5</v>
      </c>
      <c r="U10">
        <v>133.4</v>
      </c>
      <c r="V10">
        <v>134.4</v>
      </c>
      <c r="W10">
        <v>130.69999999999999</v>
      </c>
      <c r="X10">
        <v>153.30000000000001</v>
      </c>
      <c r="Y10">
        <v>141.1</v>
      </c>
    </row>
    <row r="11" spans="1:27">
      <c r="A11" s="106" cm="1">
        <f t="array" ref="A11:Y11">IF(A10&lt;DATE3,INDEX(INDEX,MATCH(EDATE(A10,1),INDEX!A:A,0),),"")</f>
        <v>46143</v>
      </c>
      <c r="B11">
        <v>140.4</v>
      </c>
      <c r="C11">
        <v>141</v>
      </c>
      <c r="D11">
        <v>143.1</v>
      </c>
      <c r="E11">
        <v>126.3</v>
      </c>
      <c r="F11">
        <v>139.5</v>
      </c>
      <c r="G11">
        <v>139.80000000000001</v>
      </c>
      <c r="H11">
        <v>139.9</v>
      </c>
      <c r="I11">
        <v>155.69999999999999</v>
      </c>
      <c r="J11">
        <v>143.69999999999999</v>
      </c>
      <c r="K11">
        <v>143.9</v>
      </c>
      <c r="L11">
        <v>139.9</v>
      </c>
      <c r="M11">
        <v>141.9</v>
      </c>
      <c r="N11">
        <v>138.19999999999999</v>
      </c>
      <c r="O11">
        <v>146.19999999999999</v>
      </c>
      <c r="P11">
        <v>131.80000000000001</v>
      </c>
      <c r="Q11">
        <v>135</v>
      </c>
      <c r="R11">
        <v>139</v>
      </c>
      <c r="S11">
        <v>136.9</v>
      </c>
      <c r="T11">
        <v>142.69999999999999</v>
      </c>
      <c r="U11">
        <v>133.9</v>
      </c>
      <c r="V11">
        <v>134.1</v>
      </c>
      <c r="W11">
        <v>130.80000000000001</v>
      </c>
      <c r="X11">
        <v>153.80000000000001</v>
      </c>
      <c r="Y11">
        <v>140.6</v>
      </c>
    </row>
    <row r="12" spans="1:27">
      <c r="A12" s="106" t="str" cm="1">
        <f t="array" ref="A12">IF(A11&lt;DATE3,INDEX(INDEX,MATCH(EDATE(A11,1),INDEX!A:A,0),),"")</f>
        <v/>
      </c>
    </row>
    <row r="13" spans="1:27">
      <c r="A13" s="106" t="str" cm="1">
        <f t="array" ref="A13">IF(A12&lt;DATE3,INDEX(INDEX,MATCH(EDATE(A12,1),INDEX!A:A,0),),"")</f>
        <v/>
      </c>
    </row>
    <row r="14" spans="1:27">
      <c r="A14" s="106" t="str" cm="1">
        <f t="array" ref="A14">IF(A13&lt;DATE3,INDEX(INDEX,MATCH(EDATE(A13,1),INDEX!A:A,0),),"")</f>
        <v/>
      </c>
    </row>
    <row r="15" spans="1:27">
      <c r="A15" s="106" t="str" cm="1">
        <f t="array" ref="A15">IF(A14&lt;DATE3,INDEX(INDEX,MATCH(EDATE(A14,1),INDEX!A:A,0),),"")</f>
        <v/>
      </c>
    </row>
    <row r="16" spans="1:27">
      <c r="A16" s="106" t="str" cm="1">
        <f t="array" ref="A16">IF(A15&lt;DATE3,INDEX(INDEX,MATCH(EDATE(A15,1),INDEX!A:A,0),),"")</f>
        <v/>
      </c>
    </row>
    <row r="17" spans="1:25">
      <c r="A17" s="106" t="str" cm="1">
        <f t="array" ref="A17">IF(A16&lt;DATE3,INDEX(INDEX,MATCH(EDATE(A16,1),INDEX!A:A,0),),"")</f>
        <v/>
      </c>
    </row>
    <row r="18" spans="1:25">
      <c r="A18" s="106" t="str" cm="1">
        <f t="array" ref="A18">IF(A17&lt;DATE3,INDEX(INDEX,MATCH(EDATE(A17,1),INDEX!A:A,0),),"")</f>
        <v/>
      </c>
    </row>
    <row r="19" spans="1:25">
      <c r="A19" s="106" t="str" cm="1">
        <f t="array" ref="A19">IF(A18&lt;DATE3,INDEX(INDEX,MATCH(EDATE(A18,1),INDEX!A:A,0),),"")</f>
        <v/>
      </c>
      <c r="B19" s="109"/>
      <c r="C19" s="109"/>
      <c r="D19" s="109"/>
      <c r="E19" s="109"/>
      <c r="F19" s="109"/>
      <c r="G19" s="109"/>
      <c r="H19" s="109"/>
      <c r="I19" s="109"/>
      <c r="J19" s="109"/>
      <c r="K19" s="109"/>
      <c r="L19" s="109"/>
      <c r="M19" s="109"/>
      <c r="N19" s="109"/>
      <c r="O19" s="109"/>
      <c r="P19" s="109"/>
      <c r="Q19" s="109"/>
      <c r="R19" s="109"/>
      <c r="S19" s="109"/>
      <c r="T19" s="109"/>
      <c r="U19" s="109"/>
      <c r="V19" s="109"/>
      <c r="W19" s="109"/>
      <c r="X19" s="110"/>
    </row>
    <row r="20" spans="1:25">
      <c r="B20">
        <f>SUM(B7:B19)</f>
        <v>681.30000000000007</v>
      </c>
      <c r="C20">
        <f t="shared" ref="C20:Y20" si="0">SUM(C7:C19)</f>
        <v>695.59999999999991</v>
      </c>
      <c r="D20">
        <f t="shared" si="0"/>
        <v>699.9</v>
      </c>
      <c r="E20">
        <f t="shared" si="0"/>
        <v>615</v>
      </c>
      <c r="F20">
        <f t="shared" si="0"/>
        <v>684.9</v>
      </c>
      <c r="G20">
        <f t="shared" si="0"/>
        <v>691</v>
      </c>
      <c r="H20">
        <f t="shared" si="0"/>
        <v>694.6</v>
      </c>
      <c r="I20">
        <f t="shared" si="0"/>
        <v>746.7</v>
      </c>
      <c r="J20">
        <f t="shared" si="0"/>
        <v>700.90000000000009</v>
      </c>
      <c r="K20">
        <f t="shared" si="0"/>
        <v>703</v>
      </c>
      <c r="L20">
        <f t="shared" si="0"/>
        <v>672.4</v>
      </c>
      <c r="M20">
        <f t="shared" si="0"/>
        <v>656.09999999999991</v>
      </c>
      <c r="N20">
        <f t="shared" si="0"/>
        <v>682.90000000000009</v>
      </c>
      <c r="O20">
        <f t="shared" si="0"/>
        <v>685.10000000000014</v>
      </c>
      <c r="P20">
        <f t="shared" si="0"/>
        <v>647.29999999999995</v>
      </c>
      <c r="Q20">
        <f t="shared" si="0"/>
        <v>663.40000000000009</v>
      </c>
      <c r="R20">
        <f t="shared" si="0"/>
        <v>673.8</v>
      </c>
      <c r="S20">
        <f t="shared" si="0"/>
        <v>670.1</v>
      </c>
      <c r="T20">
        <f t="shared" si="0"/>
        <v>699.09999999999991</v>
      </c>
      <c r="U20">
        <f t="shared" si="0"/>
        <v>656.9</v>
      </c>
      <c r="V20">
        <f t="shared" si="0"/>
        <v>663.30000000000007</v>
      </c>
      <c r="W20">
        <f>SUM(W7:W19)</f>
        <v>645.29999999999995</v>
      </c>
      <c r="X20">
        <f>SUM(X7:X19)</f>
        <v>754.09999999999991</v>
      </c>
      <c r="Y20">
        <f t="shared" si="0"/>
        <v>701.8</v>
      </c>
    </row>
    <row r="22" spans="1:25">
      <c r="B22" s="237" t="s">
        <v>193</v>
      </c>
      <c r="C22" s="237"/>
      <c r="D22" s="237"/>
    </row>
    <row r="23" spans="1:25">
      <c r="A23" s="104" cm="1">
        <f t="array" ref="A23:Y23">IF(DATE(YEAR(EDATE(DATE3,-12)),1,1)&lt;=EDATE(DATE3,-12),INDEX(INDEX,MATCH(DATE(YEAR(EDATE(DATE3,-12)),1,1),INDEX!A:A,0),),"")</f>
        <v>45658</v>
      </c>
      <c r="B23" s="43">
        <v>131.9</v>
      </c>
      <c r="C23" s="43">
        <v>135.1</v>
      </c>
      <c r="D23" s="43">
        <v>133.4</v>
      </c>
      <c r="E23" s="43">
        <v>119.7</v>
      </c>
      <c r="F23" s="43">
        <v>132.6</v>
      </c>
      <c r="G23" s="43">
        <v>134.69999999999999</v>
      </c>
      <c r="H23" s="43">
        <v>136.5</v>
      </c>
      <c r="I23" s="43">
        <v>138.1</v>
      </c>
      <c r="J23" s="43">
        <v>131.5</v>
      </c>
      <c r="K23" s="43">
        <v>133</v>
      </c>
      <c r="L23" s="43">
        <v>131.6</v>
      </c>
      <c r="M23" s="43">
        <v>130.69999999999999</v>
      </c>
      <c r="N23" s="43">
        <v>131.5</v>
      </c>
      <c r="O23" s="43">
        <v>130.80000000000001</v>
      </c>
      <c r="P23" s="43">
        <v>125.3</v>
      </c>
      <c r="Q23" s="43">
        <v>128.30000000000001</v>
      </c>
      <c r="R23" s="43">
        <v>129.80000000000001</v>
      </c>
      <c r="S23" s="43">
        <v>130.1</v>
      </c>
      <c r="T23" s="43">
        <v>132.6</v>
      </c>
      <c r="U23" s="43">
        <v>127.7</v>
      </c>
      <c r="V23" s="43">
        <v>128.1</v>
      </c>
      <c r="W23" s="43">
        <v>125.7</v>
      </c>
      <c r="X23" s="7">
        <v>153</v>
      </c>
      <c r="Y23">
        <v>138.19999999999999</v>
      </c>
    </row>
    <row r="24" spans="1:25">
      <c r="A24" s="106" cm="1">
        <f t="array" ref="A24:Y24">IF(A23&lt;EDATE(DATE3,-12),INDEX(INDEX,MATCH(EDATE(A23,1),INDEX!A:A,0),),"")</f>
        <v>45689</v>
      </c>
      <c r="B24">
        <v>132.19999999999999</v>
      </c>
      <c r="C24">
        <v>135</v>
      </c>
      <c r="D24">
        <v>133.4</v>
      </c>
      <c r="E24">
        <v>120.2</v>
      </c>
      <c r="F24">
        <v>132.4</v>
      </c>
      <c r="G24">
        <v>134.4</v>
      </c>
      <c r="H24">
        <v>135.80000000000001</v>
      </c>
      <c r="I24">
        <v>138.19999999999999</v>
      </c>
      <c r="J24">
        <v>131.69999999999999</v>
      </c>
      <c r="K24">
        <v>133.4</v>
      </c>
      <c r="L24">
        <v>132.19999999999999</v>
      </c>
      <c r="M24">
        <v>132.1</v>
      </c>
      <c r="N24">
        <v>132</v>
      </c>
      <c r="O24">
        <v>131.19999999999999</v>
      </c>
      <c r="P24">
        <v>124.9</v>
      </c>
      <c r="Q24">
        <v>128.9</v>
      </c>
      <c r="R24">
        <v>130</v>
      </c>
      <c r="S24">
        <v>130.9</v>
      </c>
      <c r="T24">
        <v>132.4</v>
      </c>
      <c r="U24">
        <v>127.5</v>
      </c>
      <c r="V24">
        <v>128.5</v>
      </c>
      <c r="W24">
        <v>124.3</v>
      </c>
      <c r="X24" s="107">
        <v>152.4</v>
      </c>
      <c r="Y24">
        <v>137.4</v>
      </c>
    </row>
    <row r="25" spans="1:25">
      <c r="A25" s="106" cm="1">
        <f t="array" ref="A25:Y25">IF(A24&lt;EDATE(DATE3,-12),INDEX(INDEX,MATCH(EDATE(A24,1),INDEX!A:A,0),),"")</f>
        <v>45717</v>
      </c>
      <c r="B25">
        <v>131.69999999999999</v>
      </c>
      <c r="C25">
        <v>135</v>
      </c>
      <c r="D25">
        <v>132.4</v>
      </c>
      <c r="E25">
        <v>118.6</v>
      </c>
      <c r="F25">
        <v>132</v>
      </c>
      <c r="G25">
        <v>134.30000000000001</v>
      </c>
      <c r="H25">
        <v>135.5</v>
      </c>
      <c r="I25">
        <v>136.1</v>
      </c>
      <c r="J25">
        <v>130.19999999999999</v>
      </c>
      <c r="K25">
        <v>133.80000000000001</v>
      </c>
      <c r="L25">
        <v>131.4</v>
      </c>
      <c r="M25">
        <v>130.80000000000001</v>
      </c>
      <c r="N25">
        <v>131.9</v>
      </c>
      <c r="O25">
        <v>131</v>
      </c>
      <c r="P25">
        <v>125.1</v>
      </c>
      <c r="Q25">
        <v>129.1</v>
      </c>
      <c r="R25">
        <v>129.80000000000001</v>
      </c>
      <c r="S25">
        <v>131.5</v>
      </c>
      <c r="T25">
        <v>132.4</v>
      </c>
      <c r="U25">
        <v>128</v>
      </c>
      <c r="V25">
        <v>128.6</v>
      </c>
      <c r="W25">
        <v>124.1</v>
      </c>
      <c r="X25" s="107">
        <v>151.69999999999999</v>
      </c>
      <c r="Y25">
        <v>136.9</v>
      </c>
    </row>
    <row r="26" spans="1:25">
      <c r="A26" s="106" cm="1">
        <f t="array" ref="A26:Y26">IF(A25&lt;EDATE(DATE3,-12),INDEX(INDEX,MATCH(EDATE(A25,1),INDEX!A:A,0),),"")</f>
        <v>45748</v>
      </c>
      <c r="B26">
        <v>131.4</v>
      </c>
      <c r="C26">
        <v>135.5</v>
      </c>
      <c r="D26">
        <v>132.80000000000001</v>
      </c>
      <c r="E26">
        <v>119.5</v>
      </c>
      <c r="F26">
        <v>132.6</v>
      </c>
      <c r="G26">
        <v>134.9</v>
      </c>
      <c r="H26">
        <v>135.9</v>
      </c>
      <c r="I26">
        <v>135.1</v>
      </c>
      <c r="J26">
        <v>130.4</v>
      </c>
      <c r="K26">
        <v>134.5</v>
      </c>
      <c r="L26">
        <v>130.5</v>
      </c>
      <c r="M26">
        <v>128.5</v>
      </c>
      <c r="N26">
        <v>132.4</v>
      </c>
      <c r="O26">
        <v>131.1</v>
      </c>
      <c r="P26">
        <v>125.2</v>
      </c>
      <c r="Q26">
        <v>129</v>
      </c>
      <c r="R26">
        <v>130.1</v>
      </c>
      <c r="S26">
        <v>130.69999999999999</v>
      </c>
      <c r="T26">
        <v>132.69999999999999</v>
      </c>
      <c r="U26">
        <v>127.5</v>
      </c>
      <c r="V26">
        <v>128.69999999999999</v>
      </c>
      <c r="W26">
        <v>124.1</v>
      </c>
      <c r="X26" s="107">
        <v>145</v>
      </c>
      <c r="Y26">
        <v>136.4</v>
      </c>
    </row>
    <row r="27" spans="1:25">
      <c r="A27" s="106" cm="1">
        <f t="array" ref="A27:Y27">IF(A26&lt;EDATE(DATE3,-12),INDEX(INDEX,MATCH(EDATE(A26,1),INDEX!A:A,0),),"")</f>
        <v>45778</v>
      </c>
      <c r="B27">
        <v>130.69999999999999</v>
      </c>
      <c r="C27">
        <v>135.30000000000001</v>
      </c>
      <c r="D27">
        <v>132.9</v>
      </c>
      <c r="E27">
        <v>117.5</v>
      </c>
      <c r="F27">
        <v>132.30000000000001</v>
      </c>
      <c r="G27">
        <v>134.4</v>
      </c>
      <c r="H27">
        <v>135.1</v>
      </c>
      <c r="I27">
        <v>134.4</v>
      </c>
      <c r="J27">
        <v>130.4</v>
      </c>
      <c r="K27">
        <v>134.80000000000001</v>
      </c>
      <c r="L27">
        <v>128.80000000000001</v>
      </c>
      <c r="M27">
        <v>125.1</v>
      </c>
      <c r="N27">
        <v>132.6</v>
      </c>
      <c r="O27">
        <v>130.9</v>
      </c>
      <c r="P27">
        <v>125.4</v>
      </c>
      <c r="Q27">
        <v>129.69999999999999</v>
      </c>
      <c r="R27">
        <v>130.4</v>
      </c>
      <c r="S27">
        <v>131.9</v>
      </c>
      <c r="T27">
        <v>132.69999999999999</v>
      </c>
      <c r="U27">
        <v>127.8</v>
      </c>
      <c r="V27">
        <v>128.9</v>
      </c>
      <c r="W27">
        <v>124.1</v>
      </c>
      <c r="X27" s="107">
        <v>146.30000000000001</v>
      </c>
      <c r="Y27">
        <v>135.30000000000001</v>
      </c>
    </row>
    <row r="28" spans="1:25">
      <c r="A28" s="106" t="str" cm="1">
        <f t="array" ref="A28">IF(A27&lt;EDATE(DATE3,-12),INDEX(INDEX,MATCH(EDATE(A27,1),INDEX!A:A,0),),"")</f>
        <v/>
      </c>
      <c r="X28" s="107"/>
    </row>
    <row r="29" spans="1:25">
      <c r="A29" s="106" t="str" cm="1">
        <f t="array" ref="A29">IF(A28&lt;EDATE(DATE3,-12),INDEX(INDEX,MATCH(EDATE(A28,1),INDEX!A:A,0),),"")</f>
        <v/>
      </c>
      <c r="X29" s="107"/>
    </row>
    <row r="30" spans="1:25">
      <c r="A30" s="106" t="str" cm="1">
        <f t="array" ref="A30">IF(A29&lt;EDATE(DATE3,-12),INDEX(INDEX,MATCH(EDATE(A29,1),INDEX!A:A,0),),"")</f>
        <v/>
      </c>
      <c r="X30" s="107"/>
    </row>
    <row r="31" spans="1:25">
      <c r="A31" s="106" t="str" cm="1">
        <f t="array" ref="A31">IF(A30&lt;EDATE(DATE3,-12),INDEX(INDEX,MATCH(EDATE(A30,1),INDEX!A:A,0),),"")</f>
        <v/>
      </c>
      <c r="X31" s="107"/>
    </row>
    <row r="32" spans="1:25">
      <c r="A32" s="106" t="str" cm="1">
        <f t="array" ref="A32">IF(A31&lt;EDATE(DATE3,-12),INDEX(INDEX,MATCH(EDATE(A31,1),INDEX!A:A,0),),"")</f>
        <v/>
      </c>
      <c r="X32" s="107"/>
    </row>
    <row r="33" spans="1:25">
      <c r="A33" s="106" t="str" cm="1">
        <f t="array" ref="A33">IF(A32&lt;EDATE(DATE3,-12),INDEX(INDEX,MATCH(EDATE(A32,1),INDEX!A:A,0),),"")</f>
        <v/>
      </c>
      <c r="X33" s="107"/>
    </row>
    <row r="34" spans="1:25">
      <c r="A34" s="106" t="str" cm="1">
        <f t="array" ref="A34">IF(A33&lt;EDATE(DATE3,-12),INDEX(INDEX,MATCH(EDATE(A33,1),INDEX!A:A,0),),"")</f>
        <v/>
      </c>
      <c r="X34" s="107"/>
    </row>
    <row r="35" spans="1:25">
      <c r="A35" s="108" t="str" cm="1">
        <f t="array" ref="A35">IF(A34&lt;EDATE(DATE3,-12),INDEX(INDEX,MATCH(EDATE(A34,1),INDEX!A:A,0),),"")</f>
        <v/>
      </c>
      <c r="B35" s="109"/>
      <c r="C35" s="109"/>
      <c r="D35" s="109"/>
      <c r="E35" s="109"/>
      <c r="F35" s="109"/>
      <c r="G35" s="109"/>
      <c r="H35" s="109"/>
      <c r="I35" s="109"/>
      <c r="J35" s="109"/>
      <c r="K35" s="109"/>
      <c r="L35" s="109"/>
      <c r="M35" s="109"/>
      <c r="N35" s="109"/>
      <c r="O35" s="109"/>
      <c r="P35" s="109"/>
      <c r="Q35" s="109"/>
      <c r="R35" s="109"/>
      <c r="S35" s="109"/>
      <c r="T35" s="109"/>
      <c r="U35" s="109"/>
      <c r="V35" s="109"/>
      <c r="W35" s="109"/>
      <c r="X35" s="110"/>
    </row>
    <row r="36" spans="1:25">
      <c r="B36">
        <f>SUM(B23:B35)</f>
        <v>657.90000000000009</v>
      </c>
      <c r="C36">
        <f t="shared" ref="C36:Y36" si="1">SUM(C23:C35)</f>
        <v>675.90000000000009</v>
      </c>
      <c r="D36">
        <f t="shared" si="1"/>
        <v>664.9</v>
      </c>
      <c r="E36">
        <f t="shared" si="1"/>
        <v>595.5</v>
      </c>
      <c r="F36">
        <f t="shared" si="1"/>
        <v>661.90000000000009</v>
      </c>
      <c r="G36">
        <f t="shared" si="1"/>
        <v>672.7</v>
      </c>
      <c r="H36">
        <f t="shared" si="1"/>
        <v>678.80000000000007</v>
      </c>
      <c r="I36">
        <f t="shared" si="1"/>
        <v>681.9</v>
      </c>
      <c r="J36">
        <f t="shared" si="1"/>
        <v>654.19999999999993</v>
      </c>
      <c r="K36">
        <f t="shared" si="1"/>
        <v>669.5</v>
      </c>
      <c r="L36">
        <f t="shared" si="1"/>
        <v>654.5</v>
      </c>
      <c r="M36">
        <f t="shared" si="1"/>
        <v>647.19999999999993</v>
      </c>
      <c r="N36">
        <f t="shared" si="1"/>
        <v>660.4</v>
      </c>
      <c r="O36">
        <f t="shared" si="1"/>
        <v>655</v>
      </c>
      <c r="P36">
        <f t="shared" si="1"/>
        <v>625.9</v>
      </c>
      <c r="Q36">
        <f t="shared" si="1"/>
        <v>645</v>
      </c>
      <c r="R36">
        <f t="shared" si="1"/>
        <v>650.1</v>
      </c>
      <c r="S36">
        <f t="shared" si="1"/>
        <v>655.1</v>
      </c>
      <c r="T36">
        <f t="shared" si="1"/>
        <v>662.8</v>
      </c>
      <c r="U36">
        <f t="shared" si="1"/>
        <v>638.5</v>
      </c>
      <c r="V36">
        <f t="shared" si="1"/>
        <v>642.80000000000007</v>
      </c>
      <c r="W36">
        <f t="shared" si="1"/>
        <v>622.30000000000007</v>
      </c>
      <c r="X36">
        <f t="shared" si="1"/>
        <v>748.39999999999986</v>
      </c>
      <c r="Y36">
        <f t="shared" si="1"/>
        <v>684.2</v>
      </c>
    </row>
    <row r="38" spans="1:25">
      <c r="B38" s="237" t="s">
        <v>194</v>
      </c>
      <c r="C38" s="237"/>
      <c r="D38" s="237"/>
    </row>
    <row r="39" spans="1:25">
      <c r="A39" s="104" cm="1">
        <f t="array" ref="A39:Y39">IF(DATE(YEAR(EDATE(DATE3,-24)),1,1)&lt;=EDATE(DATE3,-24),INDEX(INDEX,MATCH(DATE(YEAR(EDATE(DATE3,-24)),1,1),INDEX!A:A,0),),"")</f>
        <v>45292</v>
      </c>
      <c r="B39" s="43">
        <v>129.6</v>
      </c>
      <c r="C39" s="43">
        <v>134</v>
      </c>
      <c r="D39" s="43">
        <v>130.9</v>
      </c>
      <c r="E39" s="43">
        <v>115.4</v>
      </c>
      <c r="F39" s="43">
        <v>131.69999999999999</v>
      </c>
      <c r="G39" s="43">
        <v>133.19999999999999</v>
      </c>
      <c r="H39" s="43">
        <v>135.9</v>
      </c>
      <c r="I39" s="43">
        <v>137.80000000000001</v>
      </c>
      <c r="J39" s="43">
        <v>128.19999999999999</v>
      </c>
      <c r="K39" s="43">
        <v>133.4</v>
      </c>
      <c r="L39" s="43">
        <v>128.6</v>
      </c>
      <c r="M39" s="43">
        <v>124.5</v>
      </c>
      <c r="N39" s="43">
        <v>129.6</v>
      </c>
      <c r="O39" s="43">
        <v>129.30000000000001</v>
      </c>
      <c r="P39" s="43">
        <v>125.4</v>
      </c>
      <c r="Q39" s="43">
        <v>127.4</v>
      </c>
      <c r="R39" s="43">
        <v>130.30000000000001</v>
      </c>
      <c r="S39" s="43">
        <v>130</v>
      </c>
      <c r="T39" s="43">
        <v>129.6</v>
      </c>
      <c r="U39" s="43">
        <v>127.5</v>
      </c>
      <c r="V39" s="43">
        <v>125.2</v>
      </c>
      <c r="W39" s="43">
        <v>124.9</v>
      </c>
      <c r="X39" s="7">
        <v>151.9</v>
      </c>
      <c r="Y39">
        <v>137.1</v>
      </c>
    </row>
    <row r="40" spans="1:25">
      <c r="A40" s="106" cm="1">
        <f t="array" ref="A40:Y40">IF(A39&lt;EDATE(DATE3,-24),INDEX(INDEX,MATCH(EDATE(A39,1),INDEX!A:A,0),),"")</f>
        <v>45323</v>
      </c>
      <c r="B40">
        <v>129.9</v>
      </c>
      <c r="C40">
        <v>133.6</v>
      </c>
      <c r="D40">
        <v>131.69999999999999</v>
      </c>
      <c r="E40">
        <v>116</v>
      </c>
      <c r="F40">
        <v>132.30000000000001</v>
      </c>
      <c r="G40">
        <v>132.9</v>
      </c>
      <c r="H40">
        <v>135.19999999999999</v>
      </c>
      <c r="I40">
        <v>140.5</v>
      </c>
      <c r="J40">
        <v>129.19999999999999</v>
      </c>
      <c r="K40">
        <v>133.6</v>
      </c>
      <c r="L40">
        <v>128.6</v>
      </c>
      <c r="M40">
        <v>124.1</v>
      </c>
      <c r="N40">
        <v>130.19999999999999</v>
      </c>
      <c r="O40">
        <v>130.1</v>
      </c>
      <c r="P40">
        <v>125.1</v>
      </c>
      <c r="Q40">
        <v>128.4</v>
      </c>
      <c r="R40">
        <v>130.6</v>
      </c>
      <c r="S40">
        <v>131.1</v>
      </c>
      <c r="T40">
        <v>130.5</v>
      </c>
      <c r="U40">
        <v>127.9</v>
      </c>
      <c r="V40">
        <v>126.2</v>
      </c>
      <c r="W40">
        <v>125.7</v>
      </c>
      <c r="X40" s="107">
        <v>150.9</v>
      </c>
      <c r="Y40">
        <v>135.9</v>
      </c>
    </row>
    <row r="41" spans="1:25">
      <c r="A41" s="106" cm="1">
        <f t="array" ref="A41:Y41">IF(A40&lt;EDATE(DATE3,-24),INDEX(INDEX,MATCH(EDATE(A40,1),INDEX!A:A,0),),"")</f>
        <v>45352</v>
      </c>
      <c r="B41">
        <v>130.1</v>
      </c>
      <c r="C41">
        <v>133.80000000000001</v>
      </c>
      <c r="D41">
        <v>131.4</v>
      </c>
      <c r="E41">
        <v>116</v>
      </c>
      <c r="F41">
        <v>132.5</v>
      </c>
      <c r="G41">
        <v>133.4</v>
      </c>
      <c r="H41">
        <v>135.4</v>
      </c>
      <c r="I41">
        <v>139.9</v>
      </c>
      <c r="J41">
        <v>128.9</v>
      </c>
      <c r="K41">
        <v>135</v>
      </c>
      <c r="L41">
        <v>129.30000000000001</v>
      </c>
      <c r="M41">
        <v>125.7</v>
      </c>
      <c r="N41">
        <v>130.30000000000001</v>
      </c>
      <c r="O41">
        <v>130.30000000000001</v>
      </c>
      <c r="P41">
        <v>125.1</v>
      </c>
      <c r="Q41">
        <v>127.6</v>
      </c>
      <c r="R41">
        <v>130.1</v>
      </c>
      <c r="S41">
        <v>129.5</v>
      </c>
      <c r="T41">
        <v>130.19999999999999</v>
      </c>
      <c r="U41">
        <v>127.8</v>
      </c>
      <c r="V41">
        <v>126.2</v>
      </c>
      <c r="W41">
        <v>125</v>
      </c>
      <c r="X41" s="107">
        <v>151.1</v>
      </c>
      <c r="Y41">
        <v>135.69999999999999</v>
      </c>
    </row>
    <row r="42" spans="1:25">
      <c r="A42" s="106" cm="1">
        <f t="array" ref="A42:Y42">IF(A41&lt;EDATE(DATE3,-24),INDEX(INDEX,MATCH(EDATE(A41,1),INDEX!A:A,0),),"")</f>
        <v>45383</v>
      </c>
      <c r="B42">
        <v>130.30000000000001</v>
      </c>
      <c r="C42">
        <v>133.4</v>
      </c>
      <c r="D42">
        <v>131.69999999999999</v>
      </c>
      <c r="E42">
        <v>116.3</v>
      </c>
      <c r="F42">
        <v>131.4</v>
      </c>
      <c r="G42">
        <v>133.1</v>
      </c>
      <c r="H42">
        <v>134.80000000000001</v>
      </c>
      <c r="I42">
        <v>139.80000000000001</v>
      </c>
      <c r="J42">
        <v>129.19999999999999</v>
      </c>
      <c r="K42">
        <v>135.5</v>
      </c>
      <c r="L42">
        <v>129.69999999999999</v>
      </c>
      <c r="M42">
        <v>127.2</v>
      </c>
      <c r="N42">
        <v>130.5</v>
      </c>
      <c r="O42">
        <v>131.4</v>
      </c>
      <c r="P42">
        <v>124.7</v>
      </c>
      <c r="Q42">
        <v>128.1</v>
      </c>
      <c r="R42">
        <v>129.9</v>
      </c>
      <c r="S42">
        <v>130.30000000000001</v>
      </c>
      <c r="T42">
        <v>130.4</v>
      </c>
      <c r="U42">
        <v>126.6</v>
      </c>
      <c r="V42">
        <v>125.9</v>
      </c>
      <c r="W42">
        <v>125.2</v>
      </c>
      <c r="X42" s="107">
        <v>150.5</v>
      </c>
      <c r="Y42">
        <v>134.69999999999999</v>
      </c>
    </row>
    <row r="43" spans="1:25">
      <c r="A43" s="106" cm="1">
        <f t="array" ref="A43:Y43">IF(A42&lt;EDATE(DATE3,-24),INDEX(INDEX,MATCH(EDATE(A42,1),INDEX!A:A,0),),"")</f>
        <v>45413</v>
      </c>
      <c r="B43">
        <v>130.1</v>
      </c>
      <c r="C43">
        <v>132.5</v>
      </c>
      <c r="D43">
        <v>131</v>
      </c>
      <c r="E43">
        <v>115.2</v>
      </c>
      <c r="F43">
        <v>130.30000000000001</v>
      </c>
      <c r="G43">
        <v>131.9</v>
      </c>
      <c r="H43">
        <v>133</v>
      </c>
      <c r="I43">
        <v>137.69999999999999</v>
      </c>
      <c r="J43">
        <v>128.19999999999999</v>
      </c>
      <c r="K43">
        <v>135.1</v>
      </c>
      <c r="L43">
        <v>129.6</v>
      </c>
      <c r="M43">
        <v>128.5</v>
      </c>
      <c r="N43">
        <v>130.30000000000001</v>
      </c>
      <c r="O43">
        <v>131.19999999999999</v>
      </c>
      <c r="P43">
        <v>125.1</v>
      </c>
      <c r="Q43">
        <v>128.1</v>
      </c>
      <c r="R43">
        <v>129.80000000000001</v>
      </c>
      <c r="S43">
        <v>130.80000000000001</v>
      </c>
      <c r="T43">
        <v>130.80000000000001</v>
      </c>
      <c r="U43">
        <v>127.9</v>
      </c>
      <c r="V43">
        <v>126.2</v>
      </c>
      <c r="W43">
        <v>125.6</v>
      </c>
      <c r="X43" s="107">
        <v>149.1</v>
      </c>
      <c r="Y43">
        <v>132.5</v>
      </c>
    </row>
    <row r="44" spans="1:25">
      <c r="A44" s="106" t="str" cm="1">
        <f t="array" ref="A44">IF(A43&lt;EDATE(DATE3,-24),INDEX(INDEX,MATCH(EDATE(A43,1),INDEX!A:A,0),),"")</f>
        <v/>
      </c>
      <c r="X44" s="107"/>
    </row>
    <row r="45" spans="1:25">
      <c r="A45" s="106" t="str" cm="1">
        <f t="array" ref="A45">IF(A44&lt;EDATE(DATE3,-24),INDEX(INDEX,MATCH(EDATE(A44,1),INDEX!A:A,0),),"")</f>
        <v/>
      </c>
      <c r="X45" s="107"/>
    </row>
    <row r="46" spans="1:25">
      <c r="A46" s="106" t="str" cm="1">
        <f t="array" ref="A46">IF(A45&lt;EDATE(DATE3,-24),INDEX(INDEX,MATCH(EDATE(A45,1),INDEX!A:A,0),),"")</f>
        <v/>
      </c>
      <c r="X46" s="107"/>
    </row>
    <row r="47" spans="1:25">
      <c r="A47" s="106" t="str" cm="1">
        <f t="array" ref="A47">IF(A46&lt;EDATE(DATE3,-24),INDEX(INDEX,MATCH(EDATE(A46,1),INDEX!A:A,0),),"")</f>
        <v/>
      </c>
      <c r="X47" s="107"/>
    </row>
    <row r="48" spans="1:25">
      <c r="A48" s="106" t="str" cm="1">
        <f t="array" ref="A48">IF(A47&lt;EDATE(DATE3,-24),INDEX(INDEX,MATCH(EDATE(A47,1),INDEX!A:A,0),),"")</f>
        <v/>
      </c>
      <c r="X48" s="107"/>
    </row>
    <row r="49" spans="1:27">
      <c r="A49" s="106" t="str" cm="1">
        <f t="array" ref="A49">IF(A48&lt;EDATE(DATE3,-24),INDEX(INDEX,MATCH(EDATE(A48,1),INDEX!A:A,0),),"")</f>
        <v/>
      </c>
      <c r="X49" s="107"/>
    </row>
    <row r="50" spans="1:27">
      <c r="A50" s="106" t="str" cm="1">
        <f t="array" ref="A50">IF(A49&lt;EDATE(DATE3,-24),INDEX(INDEX,MATCH(EDATE(A49,1),INDEX!A:A,0),),"")</f>
        <v/>
      </c>
      <c r="X50" s="107"/>
    </row>
    <row r="51" spans="1:27">
      <c r="A51" s="108" t="str" cm="1">
        <f t="array" ref="A51">IF(A50&lt;EDATE(DATE3,-24),INDEX(INDEX,MATCH(EDATE(A50,1),INDEX!A:A,0),),"")</f>
        <v/>
      </c>
      <c r="B51" s="109"/>
      <c r="C51" s="109"/>
      <c r="D51" s="109"/>
      <c r="E51" s="109"/>
      <c r="F51" s="109"/>
      <c r="G51" s="109"/>
      <c r="H51" s="109"/>
      <c r="I51" s="109"/>
      <c r="J51" s="109"/>
      <c r="K51" s="109"/>
      <c r="L51" s="109"/>
      <c r="M51" s="109"/>
      <c r="N51" s="109"/>
      <c r="O51" s="109"/>
      <c r="P51" s="109"/>
      <c r="Q51" s="109"/>
      <c r="R51" s="109"/>
      <c r="S51" s="109"/>
      <c r="T51" s="109"/>
      <c r="U51" s="109"/>
      <c r="V51" s="109"/>
      <c r="W51" s="109"/>
      <c r="X51" s="110"/>
    </row>
    <row r="52" spans="1:27">
      <c r="B52">
        <f t="shared" ref="B52:AA52" si="2">SUM(B39:B51)</f>
        <v>650.00000000000011</v>
      </c>
      <c r="C52">
        <f t="shared" si="2"/>
        <v>667.30000000000007</v>
      </c>
      <c r="D52">
        <f t="shared" si="2"/>
        <v>656.7</v>
      </c>
      <c r="E52">
        <f t="shared" si="2"/>
        <v>578.9</v>
      </c>
      <c r="F52">
        <f t="shared" si="2"/>
        <v>658.2</v>
      </c>
      <c r="G52">
        <f t="shared" si="2"/>
        <v>664.5</v>
      </c>
      <c r="H52">
        <f t="shared" si="2"/>
        <v>674.3</v>
      </c>
      <c r="I52">
        <f t="shared" si="2"/>
        <v>695.7</v>
      </c>
      <c r="J52">
        <f t="shared" si="2"/>
        <v>643.70000000000005</v>
      </c>
      <c r="K52">
        <f t="shared" si="2"/>
        <v>672.6</v>
      </c>
      <c r="L52">
        <f t="shared" si="2"/>
        <v>645.80000000000007</v>
      </c>
      <c r="M52">
        <f t="shared" si="2"/>
        <v>630</v>
      </c>
      <c r="N52">
        <f t="shared" si="2"/>
        <v>650.89999999999986</v>
      </c>
      <c r="O52">
        <f t="shared" si="2"/>
        <v>652.29999999999995</v>
      </c>
      <c r="P52">
        <f t="shared" si="2"/>
        <v>625.4</v>
      </c>
      <c r="Q52">
        <f t="shared" si="2"/>
        <v>639.6</v>
      </c>
      <c r="R52">
        <f t="shared" si="2"/>
        <v>650.70000000000005</v>
      </c>
      <c r="S52">
        <f t="shared" si="2"/>
        <v>651.70000000000005</v>
      </c>
      <c r="T52">
        <f t="shared" si="2"/>
        <v>651.5</v>
      </c>
      <c r="U52">
        <f t="shared" si="2"/>
        <v>637.69999999999993</v>
      </c>
      <c r="V52">
        <f t="shared" si="2"/>
        <v>629.70000000000005</v>
      </c>
      <c r="W52">
        <f t="shared" si="2"/>
        <v>626.4</v>
      </c>
      <c r="X52">
        <f t="shared" si="2"/>
        <v>753.5</v>
      </c>
      <c r="Y52">
        <f t="shared" si="2"/>
        <v>675.9</v>
      </c>
      <c r="Z52">
        <f t="shared" si="2"/>
        <v>0</v>
      </c>
      <c r="AA52">
        <f t="shared" si="2"/>
        <v>0</v>
      </c>
    </row>
    <row r="54" spans="1:27" ht="18.75">
      <c r="B54" s="235" t="s">
        <v>200</v>
      </c>
      <c r="C54" s="235"/>
      <c r="D54" s="235"/>
      <c r="E54" s="235"/>
    </row>
    <row r="55" spans="1:27">
      <c r="B55" s="241" t="s">
        <v>39</v>
      </c>
      <c r="C55" s="241"/>
      <c r="D55" s="241"/>
    </row>
    <row r="56" spans="1:27">
      <c r="A56" s="104" cm="1">
        <f t="array" ref="A56:Y56">INDEX(INDEX,MATCH(EDATE(DATE3,-5),INDEX!A:A,0),)</f>
        <v>45992</v>
      </c>
      <c r="B56" s="43">
        <v>130.30000000000001</v>
      </c>
      <c r="C56" s="43">
        <v>136.1</v>
      </c>
      <c r="D56" s="43">
        <v>133.1</v>
      </c>
      <c r="E56" s="43">
        <v>117.8</v>
      </c>
      <c r="F56" s="43">
        <v>132.5</v>
      </c>
      <c r="G56" s="43">
        <v>135.19999999999999</v>
      </c>
      <c r="H56" s="43">
        <v>136.4</v>
      </c>
      <c r="I56" s="43">
        <v>135.6</v>
      </c>
      <c r="J56" s="43">
        <v>131</v>
      </c>
      <c r="K56" s="43">
        <v>134.69999999999999</v>
      </c>
      <c r="L56" s="43">
        <v>127.6</v>
      </c>
      <c r="M56" s="43">
        <v>120.5</v>
      </c>
      <c r="N56" s="43">
        <v>133.30000000000001</v>
      </c>
      <c r="O56" s="43">
        <v>128.5</v>
      </c>
      <c r="P56" s="43">
        <v>125.5</v>
      </c>
      <c r="Q56" s="43">
        <v>129.1</v>
      </c>
      <c r="R56" s="43">
        <v>130.30000000000001</v>
      </c>
      <c r="S56" s="43">
        <v>130.4</v>
      </c>
      <c r="T56" s="43">
        <v>134.30000000000001</v>
      </c>
      <c r="U56" s="43">
        <v>127.7</v>
      </c>
      <c r="V56" s="43">
        <v>130.19999999999999</v>
      </c>
      <c r="W56" s="43">
        <v>126.1</v>
      </c>
      <c r="X56" s="7">
        <v>149.69999999999999</v>
      </c>
      <c r="Y56">
        <v>138.4</v>
      </c>
    </row>
    <row r="57" spans="1:27">
      <c r="A57" s="106" cm="1">
        <f t="array" ref="A57:Y57">INDEX(INDEX,MATCH(EDATE(A56,1),INDEX!A:A,0),)</f>
        <v>46023</v>
      </c>
      <c r="B57">
        <v>131.4</v>
      </c>
      <c r="C57">
        <v>137.5</v>
      </c>
      <c r="D57">
        <v>135.1</v>
      </c>
      <c r="E57">
        <v>119.7</v>
      </c>
      <c r="F57">
        <v>134.30000000000001</v>
      </c>
      <c r="G57">
        <v>136.69999999999999</v>
      </c>
      <c r="H57">
        <v>138</v>
      </c>
      <c r="I57">
        <v>138.6</v>
      </c>
      <c r="J57">
        <v>133.5</v>
      </c>
      <c r="K57">
        <v>136.80000000000001</v>
      </c>
      <c r="L57">
        <v>127.8</v>
      </c>
      <c r="M57">
        <v>119.5</v>
      </c>
      <c r="N57">
        <v>134.4</v>
      </c>
      <c r="O57">
        <v>129.30000000000001</v>
      </c>
      <c r="P57">
        <v>127.2</v>
      </c>
      <c r="Q57">
        <v>130</v>
      </c>
      <c r="R57">
        <v>131.4</v>
      </c>
      <c r="S57">
        <v>130.9</v>
      </c>
      <c r="T57">
        <v>136.4</v>
      </c>
      <c r="U57">
        <v>129.80000000000001</v>
      </c>
      <c r="V57">
        <v>131.19999999999999</v>
      </c>
      <c r="W57">
        <v>127.4</v>
      </c>
      <c r="X57" s="107">
        <v>147.69999999999999</v>
      </c>
      <c r="Y57">
        <v>139.69999999999999</v>
      </c>
    </row>
    <row r="58" spans="1:27">
      <c r="A58" s="106" cm="1">
        <f t="array" ref="A58:Y58">INDEX(INDEX,MATCH(EDATE(A57,1),INDEX!A:A,0),)</f>
        <v>46054</v>
      </c>
      <c r="B58">
        <v>132.19999999999999</v>
      </c>
      <c r="C58">
        <v>137.5</v>
      </c>
      <c r="D58">
        <v>135.69999999999999</v>
      </c>
      <c r="E58">
        <v>120.1</v>
      </c>
      <c r="F58">
        <v>134.30000000000001</v>
      </c>
      <c r="G58">
        <v>136.6</v>
      </c>
      <c r="H58">
        <v>137.6</v>
      </c>
      <c r="I58">
        <v>139.30000000000001</v>
      </c>
      <c r="J58">
        <v>134</v>
      </c>
      <c r="K58">
        <v>137.5</v>
      </c>
      <c r="L58">
        <v>129.19999999999999</v>
      </c>
      <c r="M58">
        <v>121.7</v>
      </c>
      <c r="N58">
        <v>134.9</v>
      </c>
      <c r="O58">
        <v>129.5</v>
      </c>
      <c r="P58">
        <v>126.3</v>
      </c>
      <c r="Q58">
        <v>130.6</v>
      </c>
      <c r="R58">
        <v>132.1</v>
      </c>
      <c r="S58">
        <v>131.80000000000001</v>
      </c>
      <c r="T58">
        <v>137.6</v>
      </c>
      <c r="U58">
        <v>127.6</v>
      </c>
      <c r="V58">
        <v>130.80000000000001</v>
      </c>
      <c r="W58">
        <v>127.8</v>
      </c>
      <c r="X58" s="107">
        <v>148.9</v>
      </c>
      <c r="Y58">
        <v>139.6</v>
      </c>
    </row>
    <row r="59" spans="1:27">
      <c r="A59" s="106" cm="1">
        <f t="array" ref="A59:Y59">INDEX(INDEX,MATCH(EDATE(A58,1),INDEX!A:A,0),)</f>
        <v>46082</v>
      </c>
      <c r="B59">
        <v>136.30000000000001</v>
      </c>
      <c r="C59">
        <v>138.9</v>
      </c>
      <c r="D59">
        <v>141.6</v>
      </c>
      <c r="E59">
        <v>123.3</v>
      </c>
      <c r="F59">
        <v>137.19999999999999</v>
      </c>
      <c r="G59">
        <v>137.9</v>
      </c>
      <c r="H59">
        <v>138.69999999999999</v>
      </c>
      <c r="I59">
        <v>153.19999999999999</v>
      </c>
      <c r="J59">
        <v>143.4</v>
      </c>
      <c r="K59">
        <v>140.80000000000001</v>
      </c>
      <c r="L59">
        <v>134.1</v>
      </c>
      <c r="M59">
        <v>129.1</v>
      </c>
      <c r="N59">
        <v>136.80000000000001</v>
      </c>
      <c r="O59">
        <v>133.4</v>
      </c>
      <c r="P59">
        <v>130.5</v>
      </c>
      <c r="Q59">
        <v>133.1</v>
      </c>
      <c r="R59">
        <v>134.1</v>
      </c>
      <c r="S59">
        <v>134.80000000000001</v>
      </c>
      <c r="T59">
        <v>139.9</v>
      </c>
      <c r="U59">
        <v>132.19999999999999</v>
      </c>
      <c r="V59">
        <v>132.80000000000001</v>
      </c>
      <c r="W59">
        <v>128.6</v>
      </c>
      <c r="X59" s="107">
        <v>150.4</v>
      </c>
      <c r="Y59">
        <v>140.80000000000001</v>
      </c>
    </row>
    <row r="60" spans="1:27">
      <c r="A60" s="106" cm="1">
        <f t="array" ref="A60:Y60">INDEX(INDEX,MATCH(EDATE(A59,1),INDEX!A:A,0),)</f>
        <v>46113</v>
      </c>
      <c r="B60">
        <v>141</v>
      </c>
      <c r="C60">
        <v>140.69999999999999</v>
      </c>
      <c r="D60">
        <v>144.4</v>
      </c>
      <c r="E60">
        <v>125.6</v>
      </c>
      <c r="F60">
        <v>139.6</v>
      </c>
      <c r="G60">
        <v>140</v>
      </c>
      <c r="H60">
        <v>140.4</v>
      </c>
      <c r="I60">
        <v>159.9</v>
      </c>
      <c r="J60">
        <v>146.30000000000001</v>
      </c>
      <c r="K60">
        <v>144</v>
      </c>
      <c r="L60">
        <v>141.4</v>
      </c>
      <c r="M60">
        <v>143.9</v>
      </c>
      <c r="N60">
        <v>138.6</v>
      </c>
      <c r="O60">
        <v>146.69999999999999</v>
      </c>
      <c r="P60">
        <v>131.5</v>
      </c>
      <c r="Q60">
        <v>134.69999999999999</v>
      </c>
      <c r="R60">
        <v>137.19999999999999</v>
      </c>
      <c r="S60">
        <v>135.69999999999999</v>
      </c>
      <c r="T60">
        <v>142.5</v>
      </c>
      <c r="U60">
        <v>133.4</v>
      </c>
      <c r="V60">
        <v>134.4</v>
      </c>
      <c r="W60">
        <v>130.69999999999999</v>
      </c>
      <c r="X60" s="107">
        <v>153.30000000000001</v>
      </c>
      <c r="Y60">
        <v>141.1</v>
      </c>
    </row>
    <row r="61" spans="1:27">
      <c r="A61" s="108" cm="1">
        <f t="array" ref="A61:Y61">INDEX(INDEX,MATCH(EDATE(A60,1),INDEX!A:A,0),)</f>
        <v>46143</v>
      </c>
      <c r="B61" s="109">
        <v>140.4</v>
      </c>
      <c r="C61" s="109">
        <v>141</v>
      </c>
      <c r="D61" s="109">
        <v>143.1</v>
      </c>
      <c r="E61" s="109">
        <v>126.3</v>
      </c>
      <c r="F61" s="109">
        <v>139.5</v>
      </c>
      <c r="G61" s="109">
        <v>139.80000000000001</v>
      </c>
      <c r="H61" s="109">
        <v>139.9</v>
      </c>
      <c r="I61" s="109">
        <v>155.69999999999999</v>
      </c>
      <c r="J61" s="109">
        <v>143.69999999999999</v>
      </c>
      <c r="K61" s="109">
        <v>143.9</v>
      </c>
      <c r="L61" s="109">
        <v>139.9</v>
      </c>
      <c r="M61" s="109">
        <v>141.9</v>
      </c>
      <c r="N61" s="109">
        <v>138.19999999999999</v>
      </c>
      <c r="O61" s="109">
        <v>146.19999999999999</v>
      </c>
      <c r="P61" s="109">
        <v>131.80000000000001</v>
      </c>
      <c r="Q61" s="109">
        <v>135</v>
      </c>
      <c r="R61" s="109">
        <v>139</v>
      </c>
      <c r="S61" s="109">
        <v>136.9</v>
      </c>
      <c r="T61" s="109">
        <v>142.69999999999999</v>
      </c>
      <c r="U61" s="109">
        <v>133.9</v>
      </c>
      <c r="V61" s="109">
        <v>134.1</v>
      </c>
      <c r="W61" s="109">
        <v>130.80000000000001</v>
      </c>
      <c r="X61" s="110">
        <v>153.80000000000001</v>
      </c>
      <c r="Y61">
        <v>140.6</v>
      </c>
    </row>
    <row r="62" spans="1:27">
      <c r="A62" s="95" t="s">
        <v>201</v>
      </c>
      <c r="B62">
        <f>SUM(B59:B61)</f>
        <v>417.70000000000005</v>
      </c>
      <c r="C62">
        <f>SUM(C59:C61)</f>
        <v>420.6</v>
      </c>
      <c r="D62">
        <f t="shared" ref="D62:X62" si="3">SUM(D59:D61)</f>
        <v>429.1</v>
      </c>
      <c r="E62">
        <f t="shared" si="3"/>
        <v>375.2</v>
      </c>
      <c r="F62">
        <f t="shared" si="3"/>
        <v>416.29999999999995</v>
      </c>
      <c r="G62">
        <f t="shared" si="3"/>
        <v>417.7</v>
      </c>
      <c r="H62">
        <f t="shared" si="3"/>
        <v>419</v>
      </c>
      <c r="I62">
        <f t="shared" si="3"/>
        <v>468.8</v>
      </c>
      <c r="J62">
        <f t="shared" si="3"/>
        <v>433.40000000000003</v>
      </c>
      <c r="K62">
        <f t="shared" si="3"/>
        <v>428.70000000000005</v>
      </c>
      <c r="L62">
        <f t="shared" si="3"/>
        <v>415.4</v>
      </c>
      <c r="M62">
        <f t="shared" si="3"/>
        <v>414.9</v>
      </c>
      <c r="N62">
        <f t="shared" si="3"/>
        <v>413.59999999999997</v>
      </c>
      <c r="O62">
        <f t="shared" si="3"/>
        <v>426.3</v>
      </c>
      <c r="P62">
        <f t="shared" si="3"/>
        <v>393.8</v>
      </c>
      <c r="Q62">
        <f t="shared" si="3"/>
        <v>402.79999999999995</v>
      </c>
      <c r="R62">
        <f t="shared" si="3"/>
        <v>410.29999999999995</v>
      </c>
      <c r="S62">
        <f t="shared" si="3"/>
        <v>407.4</v>
      </c>
      <c r="T62">
        <f t="shared" si="3"/>
        <v>425.09999999999997</v>
      </c>
      <c r="U62">
        <f t="shared" si="3"/>
        <v>399.5</v>
      </c>
      <c r="V62">
        <f t="shared" si="3"/>
        <v>401.30000000000007</v>
      </c>
      <c r="W62">
        <f t="shared" si="3"/>
        <v>390.09999999999997</v>
      </c>
      <c r="X62">
        <f t="shared" si="3"/>
        <v>457.50000000000006</v>
      </c>
      <c r="Y62">
        <f t="shared" ref="Y62:AA62" si="4">SUM(Y59:Y61)</f>
        <v>422.5</v>
      </c>
      <c r="Z62">
        <f t="shared" si="4"/>
        <v>0</v>
      </c>
      <c r="AA62">
        <f t="shared" si="4"/>
        <v>0</v>
      </c>
    </row>
    <row r="63" spans="1:27">
      <c r="A63" s="95" t="s">
        <v>202</v>
      </c>
      <c r="B63">
        <f>SUM(B56:B58)</f>
        <v>393.90000000000003</v>
      </c>
      <c r="C63">
        <f>SUM(C56:C58)</f>
        <v>411.1</v>
      </c>
      <c r="D63">
        <f t="shared" ref="D63:X63" si="5">SUM(D56:D58)</f>
        <v>403.9</v>
      </c>
      <c r="E63">
        <f t="shared" si="5"/>
        <v>357.6</v>
      </c>
      <c r="F63">
        <f t="shared" si="5"/>
        <v>401.1</v>
      </c>
      <c r="G63">
        <f t="shared" si="5"/>
        <v>408.5</v>
      </c>
      <c r="H63">
        <f t="shared" si="5"/>
        <v>412</v>
      </c>
      <c r="I63">
        <f t="shared" si="5"/>
        <v>413.5</v>
      </c>
      <c r="J63">
        <f t="shared" si="5"/>
        <v>398.5</v>
      </c>
      <c r="K63">
        <f t="shared" si="5"/>
        <v>409</v>
      </c>
      <c r="L63">
        <f t="shared" si="5"/>
        <v>384.59999999999997</v>
      </c>
      <c r="M63">
        <f t="shared" si="5"/>
        <v>361.7</v>
      </c>
      <c r="N63">
        <f t="shared" si="5"/>
        <v>402.6</v>
      </c>
      <c r="O63">
        <f t="shared" si="5"/>
        <v>387.3</v>
      </c>
      <c r="P63">
        <f t="shared" si="5"/>
        <v>379</v>
      </c>
      <c r="Q63">
        <f t="shared" si="5"/>
        <v>389.70000000000005</v>
      </c>
      <c r="R63">
        <f t="shared" si="5"/>
        <v>393.80000000000007</v>
      </c>
      <c r="S63">
        <f t="shared" si="5"/>
        <v>393.1</v>
      </c>
      <c r="T63">
        <f t="shared" si="5"/>
        <v>408.30000000000007</v>
      </c>
      <c r="U63">
        <f t="shared" si="5"/>
        <v>385.1</v>
      </c>
      <c r="V63">
        <f t="shared" si="5"/>
        <v>392.2</v>
      </c>
      <c r="W63">
        <f t="shared" si="5"/>
        <v>381.3</v>
      </c>
      <c r="X63">
        <f t="shared" si="5"/>
        <v>446.29999999999995</v>
      </c>
      <c r="Y63">
        <f t="shared" ref="Y63:AA63" si="6">SUM(Y56:Y58)</f>
        <v>417.70000000000005</v>
      </c>
      <c r="Z63">
        <f t="shared" si="6"/>
        <v>0</v>
      </c>
      <c r="AA63">
        <f t="shared" si="6"/>
        <v>0</v>
      </c>
    </row>
    <row r="65" spans="1:27">
      <c r="B65" s="237" t="s">
        <v>40</v>
      </c>
      <c r="C65" s="237"/>
      <c r="D65" s="237"/>
    </row>
    <row r="66" spans="1:27">
      <c r="A66" s="104" cm="1">
        <f t="array" ref="A66:Y66">INDEX(INDEX,MATCH(EDATE(DATE3,-11),INDEX!A:A,0),)</f>
        <v>45809</v>
      </c>
      <c r="B66" s="43">
        <v>130.5</v>
      </c>
      <c r="C66" s="43">
        <v>135</v>
      </c>
      <c r="D66" s="43">
        <v>132.9</v>
      </c>
      <c r="E66" s="43">
        <v>117.8</v>
      </c>
      <c r="F66" s="43">
        <v>132</v>
      </c>
      <c r="G66" s="43">
        <v>134</v>
      </c>
      <c r="H66" s="43">
        <v>134.5</v>
      </c>
      <c r="I66" s="43">
        <v>136</v>
      </c>
      <c r="J66" s="43">
        <v>130.9</v>
      </c>
      <c r="K66" s="43">
        <v>134.6</v>
      </c>
      <c r="L66" s="43">
        <v>128.4</v>
      </c>
      <c r="M66" s="43">
        <v>124.2</v>
      </c>
      <c r="N66" s="43">
        <v>132.30000000000001</v>
      </c>
      <c r="O66" s="43">
        <v>131</v>
      </c>
      <c r="P66" s="43">
        <v>125.3</v>
      </c>
      <c r="Q66" s="43">
        <v>129.30000000000001</v>
      </c>
      <c r="R66" s="43">
        <v>130.5</v>
      </c>
      <c r="S66" s="43">
        <v>131.4</v>
      </c>
      <c r="T66" s="43">
        <v>132.5</v>
      </c>
      <c r="U66" s="43">
        <v>128.30000000000001</v>
      </c>
      <c r="V66" s="43">
        <v>129.4</v>
      </c>
      <c r="W66" s="43">
        <v>124.1</v>
      </c>
      <c r="X66" s="7">
        <v>147.69999999999999</v>
      </c>
      <c r="Y66">
        <v>134.80000000000001</v>
      </c>
    </row>
    <row r="67" spans="1:27">
      <c r="A67" s="106" cm="1">
        <f t="array" ref="A67:Y67">INDEX(INDEX,MATCH(EDATE(A66,1),INDEX!A:A,0),)</f>
        <v>45839</v>
      </c>
      <c r="B67">
        <v>131</v>
      </c>
      <c r="C67">
        <v>135.19999999999999</v>
      </c>
      <c r="D67">
        <v>133.1</v>
      </c>
      <c r="E67">
        <v>117.6</v>
      </c>
      <c r="F67">
        <v>132.1</v>
      </c>
      <c r="G67">
        <v>134.30000000000001</v>
      </c>
      <c r="H67">
        <v>134.69999999999999</v>
      </c>
      <c r="I67">
        <v>136.9</v>
      </c>
      <c r="J67">
        <v>131.30000000000001</v>
      </c>
      <c r="K67">
        <v>134.80000000000001</v>
      </c>
      <c r="L67">
        <v>129.4</v>
      </c>
      <c r="M67">
        <v>125.8</v>
      </c>
      <c r="N67">
        <v>132.4</v>
      </c>
      <c r="O67">
        <v>130.6</v>
      </c>
      <c r="P67">
        <v>125.4</v>
      </c>
      <c r="Q67">
        <v>129.4</v>
      </c>
      <c r="R67">
        <v>130.30000000000001</v>
      </c>
      <c r="S67">
        <v>131.4</v>
      </c>
      <c r="T67">
        <v>133</v>
      </c>
      <c r="U67">
        <v>128.19999999999999</v>
      </c>
      <c r="V67">
        <v>129.69999999999999</v>
      </c>
      <c r="W67">
        <v>124.4</v>
      </c>
      <c r="X67" s="107">
        <v>153.4</v>
      </c>
      <c r="Y67">
        <v>135.1</v>
      </c>
    </row>
    <row r="68" spans="1:27">
      <c r="A68" s="106" cm="1">
        <f t="array" ref="A68:Y68">INDEX(INDEX,MATCH(EDATE(A67,1),INDEX!A:A,0),)</f>
        <v>45870</v>
      </c>
      <c r="B68">
        <v>131.4</v>
      </c>
      <c r="C68">
        <v>136.1</v>
      </c>
      <c r="D68">
        <v>133.80000000000001</v>
      </c>
      <c r="E68">
        <v>118.2</v>
      </c>
      <c r="F68">
        <v>132.69999999999999</v>
      </c>
      <c r="G68">
        <v>135.19999999999999</v>
      </c>
      <c r="H68">
        <v>136</v>
      </c>
      <c r="I68">
        <v>137.6</v>
      </c>
      <c r="J68">
        <v>132.19999999999999</v>
      </c>
      <c r="K68">
        <v>135.19999999999999</v>
      </c>
      <c r="L68">
        <v>129.30000000000001</v>
      </c>
      <c r="M68">
        <v>124.3</v>
      </c>
      <c r="N68">
        <v>133.5</v>
      </c>
      <c r="O68">
        <v>130.5</v>
      </c>
      <c r="P68">
        <v>126.3</v>
      </c>
      <c r="Q68">
        <v>130.19999999999999</v>
      </c>
      <c r="R68">
        <v>131.19999999999999</v>
      </c>
      <c r="S68">
        <v>131.80000000000001</v>
      </c>
      <c r="T68">
        <v>133.80000000000001</v>
      </c>
      <c r="U68">
        <v>128.19999999999999</v>
      </c>
      <c r="V68">
        <v>130</v>
      </c>
      <c r="W68">
        <v>125.3</v>
      </c>
      <c r="X68" s="107">
        <v>153.9</v>
      </c>
      <c r="Y68">
        <v>136.1</v>
      </c>
    </row>
    <row r="69" spans="1:27">
      <c r="A69" s="106" cm="1">
        <f t="array" ref="A69:Y69">INDEX(INDEX,MATCH(EDATE(A68,1),INDEX!A:A,0),)</f>
        <v>45901</v>
      </c>
      <c r="B69">
        <v>130.69999999999999</v>
      </c>
      <c r="C69">
        <v>135.69999999999999</v>
      </c>
      <c r="D69">
        <v>133.4</v>
      </c>
      <c r="E69">
        <v>117</v>
      </c>
      <c r="F69">
        <v>132.19999999999999</v>
      </c>
      <c r="G69">
        <v>134.6</v>
      </c>
      <c r="H69">
        <v>135.30000000000001</v>
      </c>
      <c r="I69">
        <v>136.80000000000001</v>
      </c>
      <c r="J69">
        <v>131.80000000000001</v>
      </c>
      <c r="K69">
        <v>134.9</v>
      </c>
      <c r="L69">
        <v>128.19999999999999</v>
      </c>
      <c r="M69">
        <v>122.6</v>
      </c>
      <c r="N69">
        <v>132.9</v>
      </c>
      <c r="O69">
        <v>129.69999999999999</v>
      </c>
      <c r="P69">
        <v>125.8</v>
      </c>
      <c r="Q69">
        <v>129.6</v>
      </c>
      <c r="R69">
        <v>130.80000000000001</v>
      </c>
      <c r="S69">
        <v>131.30000000000001</v>
      </c>
      <c r="T69">
        <v>133.6</v>
      </c>
      <c r="U69">
        <v>128.19999999999999</v>
      </c>
      <c r="V69">
        <v>129.9</v>
      </c>
      <c r="W69">
        <v>125.6</v>
      </c>
      <c r="X69" s="107">
        <v>151.80000000000001</v>
      </c>
      <c r="Y69">
        <v>136.1</v>
      </c>
    </row>
    <row r="70" spans="1:27">
      <c r="A70" s="106" cm="1">
        <f t="array" ref="A70:Y70">INDEX(INDEX,MATCH(EDATE(A69,1),INDEX!A:A,0),)</f>
        <v>45931</v>
      </c>
      <c r="B70">
        <v>130.5</v>
      </c>
      <c r="C70">
        <v>135.69999999999999</v>
      </c>
      <c r="D70">
        <v>133.30000000000001</v>
      </c>
      <c r="E70">
        <v>117</v>
      </c>
      <c r="F70">
        <v>132.1</v>
      </c>
      <c r="G70">
        <v>134.69999999999999</v>
      </c>
      <c r="H70">
        <v>135.4</v>
      </c>
      <c r="I70">
        <v>136.69999999999999</v>
      </c>
      <c r="J70">
        <v>131.6</v>
      </c>
      <c r="K70">
        <v>134.69999999999999</v>
      </c>
      <c r="L70">
        <v>128</v>
      </c>
      <c r="M70">
        <v>121.7</v>
      </c>
      <c r="N70">
        <v>133.1</v>
      </c>
      <c r="O70">
        <v>129.80000000000001</v>
      </c>
      <c r="P70">
        <v>126</v>
      </c>
      <c r="Q70">
        <v>129.4</v>
      </c>
      <c r="R70">
        <v>130.5</v>
      </c>
      <c r="S70">
        <v>130.9</v>
      </c>
      <c r="T70">
        <v>133.5</v>
      </c>
      <c r="U70">
        <v>128.19999999999999</v>
      </c>
      <c r="V70">
        <v>130</v>
      </c>
      <c r="W70">
        <v>125.4</v>
      </c>
      <c r="X70" s="107">
        <v>145.6</v>
      </c>
      <c r="Y70">
        <v>136.4</v>
      </c>
    </row>
    <row r="71" spans="1:27">
      <c r="A71" s="106" cm="1">
        <f t="array" ref="A71:Y71">INDEX(INDEX,MATCH(EDATE(A70,1),INDEX!A:A,0),)</f>
        <v>45962</v>
      </c>
      <c r="B71">
        <v>130.80000000000001</v>
      </c>
      <c r="C71">
        <v>135.80000000000001</v>
      </c>
      <c r="D71">
        <v>133.69999999999999</v>
      </c>
      <c r="E71">
        <v>118.3</v>
      </c>
      <c r="F71">
        <v>132.30000000000001</v>
      </c>
      <c r="G71">
        <v>134.9</v>
      </c>
      <c r="H71">
        <v>135.69999999999999</v>
      </c>
      <c r="I71">
        <v>138.69999999999999</v>
      </c>
      <c r="J71">
        <v>132.1</v>
      </c>
      <c r="K71">
        <v>134.69999999999999</v>
      </c>
      <c r="L71">
        <v>128.4</v>
      </c>
      <c r="M71">
        <v>122.6</v>
      </c>
      <c r="N71">
        <v>133.30000000000001</v>
      </c>
      <c r="O71">
        <v>129.1</v>
      </c>
      <c r="P71">
        <v>126.4</v>
      </c>
      <c r="Q71">
        <v>129.4</v>
      </c>
      <c r="R71">
        <v>130.69999999999999</v>
      </c>
      <c r="S71">
        <v>130.69999999999999</v>
      </c>
      <c r="T71">
        <v>134</v>
      </c>
      <c r="U71">
        <v>128.4</v>
      </c>
      <c r="V71">
        <v>130.1</v>
      </c>
      <c r="W71">
        <v>125.7</v>
      </c>
      <c r="X71" s="107">
        <v>146.69999999999999</v>
      </c>
      <c r="Y71">
        <v>137.1</v>
      </c>
    </row>
    <row r="72" spans="1:27">
      <c r="A72" s="106" cm="1">
        <f t="array" ref="A72:Y72">INDEX(INDEX,MATCH(EDATE(A71,1),INDEX!A:A,0),)</f>
        <v>45992</v>
      </c>
      <c r="B72">
        <v>130.30000000000001</v>
      </c>
      <c r="C72">
        <v>136.1</v>
      </c>
      <c r="D72">
        <v>133.1</v>
      </c>
      <c r="E72">
        <v>117.8</v>
      </c>
      <c r="F72">
        <v>132.5</v>
      </c>
      <c r="G72">
        <v>135.19999999999999</v>
      </c>
      <c r="H72">
        <v>136.4</v>
      </c>
      <c r="I72">
        <v>135.6</v>
      </c>
      <c r="J72">
        <v>131</v>
      </c>
      <c r="K72">
        <v>134.69999999999999</v>
      </c>
      <c r="L72">
        <v>127.6</v>
      </c>
      <c r="M72">
        <v>120.5</v>
      </c>
      <c r="N72">
        <v>133.30000000000001</v>
      </c>
      <c r="O72">
        <v>128.5</v>
      </c>
      <c r="P72">
        <v>125.5</v>
      </c>
      <c r="Q72">
        <v>129.1</v>
      </c>
      <c r="R72">
        <v>130.30000000000001</v>
      </c>
      <c r="S72">
        <v>130.4</v>
      </c>
      <c r="T72">
        <v>134.30000000000001</v>
      </c>
      <c r="U72">
        <v>127.7</v>
      </c>
      <c r="V72">
        <v>130.19999999999999</v>
      </c>
      <c r="W72">
        <v>126.1</v>
      </c>
      <c r="X72" s="107">
        <v>149.69999999999999</v>
      </c>
      <c r="Y72">
        <v>138.4</v>
      </c>
    </row>
    <row r="73" spans="1:27">
      <c r="A73" s="106" cm="1">
        <f t="array" ref="A73:Y73">INDEX(INDEX,MATCH(EDATE(A72,1),INDEX!A:A,0),)</f>
        <v>46023</v>
      </c>
      <c r="B73">
        <v>131.4</v>
      </c>
      <c r="C73">
        <v>137.5</v>
      </c>
      <c r="D73">
        <v>135.1</v>
      </c>
      <c r="E73">
        <v>119.7</v>
      </c>
      <c r="F73">
        <v>134.30000000000001</v>
      </c>
      <c r="G73">
        <v>136.69999999999999</v>
      </c>
      <c r="H73">
        <v>138</v>
      </c>
      <c r="I73">
        <v>138.6</v>
      </c>
      <c r="J73">
        <v>133.5</v>
      </c>
      <c r="K73">
        <v>136.80000000000001</v>
      </c>
      <c r="L73">
        <v>127.8</v>
      </c>
      <c r="M73">
        <v>119.5</v>
      </c>
      <c r="N73">
        <v>134.4</v>
      </c>
      <c r="O73">
        <v>129.30000000000001</v>
      </c>
      <c r="P73">
        <v>127.2</v>
      </c>
      <c r="Q73">
        <v>130</v>
      </c>
      <c r="R73">
        <v>131.4</v>
      </c>
      <c r="S73">
        <v>130.9</v>
      </c>
      <c r="T73">
        <v>136.4</v>
      </c>
      <c r="U73">
        <v>129.80000000000001</v>
      </c>
      <c r="V73">
        <v>131.19999999999999</v>
      </c>
      <c r="W73">
        <v>127.4</v>
      </c>
      <c r="X73" s="107">
        <v>147.69999999999999</v>
      </c>
      <c r="Y73">
        <v>139.69999999999999</v>
      </c>
    </row>
    <row r="74" spans="1:27">
      <c r="A74" s="106" cm="1">
        <f t="array" ref="A74:Y74">INDEX(INDEX,MATCH(EDATE(A73,1),INDEX!A:A,0),)</f>
        <v>46054</v>
      </c>
      <c r="B74">
        <v>132.19999999999999</v>
      </c>
      <c r="C74">
        <v>137.5</v>
      </c>
      <c r="D74">
        <v>135.69999999999999</v>
      </c>
      <c r="E74">
        <v>120.1</v>
      </c>
      <c r="F74">
        <v>134.30000000000001</v>
      </c>
      <c r="G74">
        <v>136.6</v>
      </c>
      <c r="H74">
        <v>137.6</v>
      </c>
      <c r="I74">
        <v>139.30000000000001</v>
      </c>
      <c r="J74">
        <v>134</v>
      </c>
      <c r="K74">
        <v>137.5</v>
      </c>
      <c r="L74">
        <v>129.19999999999999</v>
      </c>
      <c r="M74">
        <v>121.7</v>
      </c>
      <c r="N74">
        <v>134.9</v>
      </c>
      <c r="O74">
        <v>129.5</v>
      </c>
      <c r="P74">
        <v>126.3</v>
      </c>
      <c r="Q74">
        <v>130.6</v>
      </c>
      <c r="R74">
        <v>132.1</v>
      </c>
      <c r="S74">
        <v>131.80000000000001</v>
      </c>
      <c r="T74">
        <v>137.6</v>
      </c>
      <c r="U74">
        <v>127.6</v>
      </c>
      <c r="V74">
        <v>130.80000000000001</v>
      </c>
      <c r="W74">
        <v>127.8</v>
      </c>
      <c r="X74" s="107">
        <v>148.9</v>
      </c>
      <c r="Y74">
        <v>139.6</v>
      </c>
    </row>
    <row r="75" spans="1:27">
      <c r="A75" s="106" cm="1">
        <f t="array" ref="A75:Y75">INDEX(INDEX,MATCH(EDATE(A74,1),INDEX!A:A,0),)</f>
        <v>46082</v>
      </c>
      <c r="B75">
        <v>136.30000000000001</v>
      </c>
      <c r="C75">
        <v>138.9</v>
      </c>
      <c r="D75">
        <v>141.6</v>
      </c>
      <c r="E75">
        <v>123.3</v>
      </c>
      <c r="F75">
        <v>137.19999999999999</v>
      </c>
      <c r="G75">
        <v>137.9</v>
      </c>
      <c r="H75">
        <v>138.69999999999999</v>
      </c>
      <c r="I75">
        <v>153.19999999999999</v>
      </c>
      <c r="J75">
        <v>143.4</v>
      </c>
      <c r="K75">
        <v>140.80000000000001</v>
      </c>
      <c r="L75">
        <v>134.1</v>
      </c>
      <c r="M75">
        <v>129.1</v>
      </c>
      <c r="N75">
        <v>136.80000000000001</v>
      </c>
      <c r="O75">
        <v>133.4</v>
      </c>
      <c r="P75">
        <v>130.5</v>
      </c>
      <c r="Q75">
        <v>133.1</v>
      </c>
      <c r="R75">
        <v>134.1</v>
      </c>
      <c r="S75">
        <v>134.80000000000001</v>
      </c>
      <c r="T75">
        <v>139.9</v>
      </c>
      <c r="U75">
        <v>132.19999999999999</v>
      </c>
      <c r="V75">
        <v>132.80000000000001</v>
      </c>
      <c r="W75">
        <v>128.6</v>
      </c>
      <c r="X75" s="107">
        <v>150.4</v>
      </c>
      <c r="Y75">
        <v>140.80000000000001</v>
      </c>
    </row>
    <row r="76" spans="1:27">
      <c r="A76" s="106" cm="1">
        <f t="array" ref="A76:Y76">INDEX(INDEX,MATCH(EDATE(A75,1),INDEX!A:A,0),)</f>
        <v>46113</v>
      </c>
      <c r="B76">
        <v>141</v>
      </c>
      <c r="C76">
        <v>140.69999999999999</v>
      </c>
      <c r="D76">
        <v>144.4</v>
      </c>
      <c r="E76">
        <v>125.6</v>
      </c>
      <c r="F76">
        <v>139.6</v>
      </c>
      <c r="G76">
        <v>140</v>
      </c>
      <c r="H76">
        <v>140.4</v>
      </c>
      <c r="I76">
        <v>159.9</v>
      </c>
      <c r="J76">
        <v>146.30000000000001</v>
      </c>
      <c r="K76">
        <v>144</v>
      </c>
      <c r="L76">
        <v>141.4</v>
      </c>
      <c r="M76">
        <v>143.9</v>
      </c>
      <c r="N76">
        <v>138.6</v>
      </c>
      <c r="O76">
        <v>146.69999999999999</v>
      </c>
      <c r="P76">
        <v>131.5</v>
      </c>
      <c r="Q76">
        <v>134.69999999999999</v>
      </c>
      <c r="R76">
        <v>137.19999999999999</v>
      </c>
      <c r="S76">
        <v>135.69999999999999</v>
      </c>
      <c r="T76">
        <v>142.5</v>
      </c>
      <c r="U76">
        <v>133.4</v>
      </c>
      <c r="V76">
        <v>134.4</v>
      </c>
      <c r="W76">
        <v>130.69999999999999</v>
      </c>
      <c r="X76" s="107">
        <v>153.30000000000001</v>
      </c>
      <c r="Y76">
        <v>141.1</v>
      </c>
    </row>
    <row r="77" spans="1:27">
      <c r="A77" s="108" cm="1">
        <f t="array" ref="A77:Y77">INDEX(INDEX,MATCH(EDATE(A76,1),INDEX!A:A,0),)</f>
        <v>46143</v>
      </c>
      <c r="B77" s="109">
        <v>140.4</v>
      </c>
      <c r="C77" s="109">
        <v>141</v>
      </c>
      <c r="D77" s="109">
        <v>143.1</v>
      </c>
      <c r="E77" s="109">
        <v>126.3</v>
      </c>
      <c r="F77" s="109">
        <v>139.5</v>
      </c>
      <c r="G77" s="109">
        <v>139.80000000000001</v>
      </c>
      <c r="H77" s="109">
        <v>139.9</v>
      </c>
      <c r="I77" s="109">
        <v>155.69999999999999</v>
      </c>
      <c r="J77" s="109">
        <v>143.69999999999999</v>
      </c>
      <c r="K77" s="109">
        <v>143.9</v>
      </c>
      <c r="L77" s="109">
        <v>139.9</v>
      </c>
      <c r="M77" s="109">
        <v>141.9</v>
      </c>
      <c r="N77" s="109">
        <v>138.19999999999999</v>
      </c>
      <c r="O77" s="109">
        <v>146.19999999999999</v>
      </c>
      <c r="P77" s="109">
        <v>131.80000000000001</v>
      </c>
      <c r="Q77" s="109">
        <v>135</v>
      </c>
      <c r="R77" s="109">
        <v>139</v>
      </c>
      <c r="S77" s="109">
        <v>136.9</v>
      </c>
      <c r="T77" s="109">
        <v>142.69999999999999</v>
      </c>
      <c r="U77" s="109">
        <v>133.9</v>
      </c>
      <c r="V77" s="109">
        <v>134.1</v>
      </c>
      <c r="W77" s="109">
        <v>130.80000000000001</v>
      </c>
      <c r="X77" s="110">
        <v>153.80000000000001</v>
      </c>
      <c r="Y77">
        <v>140.6</v>
      </c>
    </row>
    <row r="78" spans="1:27">
      <c r="A78" s="95" t="s">
        <v>201</v>
      </c>
      <c r="B78">
        <f>SUM(B72:B77)</f>
        <v>811.6</v>
      </c>
      <c r="C78">
        <f t="shared" ref="C78:X78" si="7">SUM(C72:C77)</f>
        <v>831.7</v>
      </c>
      <c r="D78">
        <f t="shared" si="7"/>
        <v>833</v>
      </c>
      <c r="E78">
        <f t="shared" si="7"/>
        <v>732.8</v>
      </c>
      <c r="F78">
        <f t="shared" si="7"/>
        <v>817.4</v>
      </c>
      <c r="G78">
        <f t="shared" si="7"/>
        <v>826.2</v>
      </c>
      <c r="H78">
        <f t="shared" si="7"/>
        <v>831</v>
      </c>
      <c r="I78">
        <f t="shared" si="7"/>
        <v>882.3</v>
      </c>
      <c r="J78">
        <f t="shared" si="7"/>
        <v>831.90000000000009</v>
      </c>
      <c r="K78">
        <f t="shared" si="7"/>
        <v>837.69999999999993</v>
      </c>
      <c r="L78">
        <f t="shared" si="7"/>
        <v>799.99999999999989</v>
      </c>
      <c r="M78">
        <f t="shared" si="7"/>
        <v>776.59999999999991</v>
      </c>
      <c r="N78">
        <f t="shared" si="7"/>
        <v>816.2</v>
      </c>
      <c r="O78">
        <f t="shared" si="7"/>
        <v>813.60000000000014</v>
      </c>
      <c r="P78">
        <f t="shared" si="7"/>
        <v>772.8</v>
      </c>
      <c r="Q78">
        <f t="shared" si="7"/>
        <v>792.5</v>
      </c>
      <c r="R78">
        <f t="shared" si="7"/>
        <v>804.10000000000014</v>
      </c>
      <c r="S78">
        <f t="shared" si="7"/>
        <v>800.50000000000011</v>
      </c>
      <c r="T78">
        <f t="shared" si="7"/>
        <v>833.40000000000009</v>
      </c>
      <c r="U78">
        <f t="shared" si="7"/>
        <v>784.59999999999991</v>
      </c>
      <c r="V78">
        <f t="shared" si="7"/>
        <v>793.5</v>
      </c>
      <c r="W78">
        <f t="shared" si="7"/>
        <v>771.39999999999986</v>
      </c>
      <c r="X78">
        <f t="shared" si="7"/>
        <v>903.8</v>
      </c>
      <c r="Y78">
        <f t="shared" ref="Y78:AA78" si="8">SUM(Y72:Y77)</f>
        <v>840.2</v>
      </c>
      <c r="Z78">
        <f t="shared" si="8"/>
        <v>0</v>
      </c>
      <c r="AA78">
        <f t="shared" si="8"/>
        <v>0</v>
      </c>
    </row>
    <row r="79" spans="1:27">
      <c r="A79" s="95" t="s">
        <v>202</v>
      </c>
      <c r="B79">
        <f>SUM(B66:B71)</f>
        <v>784.89999999999986</v>
      </c>
      <c r="C79">
        <f t="shared" ref="C79:X79" si="9">SUM(C66:C71)</f>
        <v>813.5</v>
      </c>
      <c r="D79">
        <f t="shared" si="9"/>
        <v>800.2</v>
      </c>
      <c r="E79">
        <f t="shared" si="9"/>
        <v>705.89999999999986</v>
      </c>
      <c r="F79">
        <f t="shared" si="9"/>
        <v>793.40000000000009</v>
      </c>
      <c r="G79">
        <f t="shared" si="9"/>
        <v>807.69999999999993</v>
      </c>
      <c r="H79">
        <f t="shared" si="9"/>
        <v>811.59999999999991</v>
      </c>
      <c r="I79">
        <f t="shared" si="9"/>
        <v>822.7</v>
      </c>
      <c r="J79">
        <f t="shared" si="9"/>
        <v>789.90000000000009</v>
      </c>
      <c r="K79">
        <f t="shared" si="9"/>
        <v>808.90000000000009</v>
      </c>
      <c r="L79">
        <f t="shared" si="9"/>
        <v>771.69999999999993</v>
      </c>
      <c r="M79">
        <f t="shared" si="9"/>
        <v>741.2</v>
      </c>
      <c r="N79">
        <f t="shared" si="9"/>
        <v>797.5</v>
      </c>
      <c r="O79">
        <f t="shared" si="9"/>
        <v>780.69999999999993</v>
      </c>
      <c r="P79">
        <f t="shared" si="9"/>
        <v>755.19999999999993</v>
      </c>
      <c r="Q79">
        <f t="shared" si="9"/>
        <v>777.3</v>
      </c>
      <c r="R79">
        <f t="shared" si="9"/>
        <v>784</v>
      </c>
      <c r="S79">
        <f t="shared" si="9"/>
        <v>787.5</v>
      </c>
      <c r="T79">
        <f t="shared" si="9"/>
        <v>800.4</v>
      </c>
      <c r="U79">
        <f t="shared" si="9"/>
        <v>769.49999999999989</v>
      </c>
      <c r="V79">
        <f t="shared" si="9"/>
        <v>779.1</v>
      </c>
      <c r="W79">
        <f t="shared" si="9"/>
        <v>750.5</v>
      </c>
      <c r="X79">
        <f t="shared" si="9"/>
        <v>899.09999999999991</v>
      </c>
      <c r="Y79">
        <f t="shared" ref="Y79:AA79" si="10">SUM(Y66:Y71)</f>
        <v>815.6</v>
      </c>
      <c r="Z79">
        <f t="shared" si="10"/>
        <v>0</v>
      </c>
      <c r="AA79">
        <f t="shared" si="10"/>
        <v>0</v>
      </c>
    </row>
    <row r="81" spans="1:25" ht="18.75">
      <c r="B81" s="235" t="s">
        <v>180</v>
      </c>
      <c r="C81" s="235"/>
      <c r="D81" s="235"/>
      <c r="E81" s="235"/>
    </row>
    <row r="82" spans="1:25">
      <c r="A82" s="95" cm="1">
        <f t="array" ref="A82:Y82">INDEX(INDEX,MATCH(DATE1,INDEX!A:A,0),)</f>
        <v>43101</v>
      </c>
      <c r="B82">
        <v>107.3</v>
      </c>
      <c r="C82">
        <v>111.2</v>
      </c>
      <c r="D82">
        <v>107.7</v>
      </c>
      <c r="E82">
        <v>107.2</v>
      </c>
      <c r="F82">
        <v>109.5</v>
      </c>
      <c r="G82">
        <v>108.8</v>
      </c>
      <c r="H82">
        <v>108.6</v>
      </c>
      <c r="I82">
        <v>109.7</v>
      </c>
      <c r="J82">
        <v>106.7</v>
      </c>
      <c r="K82">
        <v>105.3</v>
      </c>
      <c r="L82">
        <v>105.1</v>
      </c>
      <c r="M82">
        <v>100.7</v>
      </c>
      <c r="N82">
        <v>110.1</v>
      </c>
      <c r="O82">
        <v>109.7</v>
      </c>
      <c r="P82" t="e">
        <v>#N/A</v>
      </c>
      <c r="Q82" t="e">
        <v>#N/A</v>
      </c>
      <c r="R82">
        <v>107.9</v>
      </c>
      <c r="S82">
        <v>102.5</v>
      </c>
      <c r="T82">
        <v>109</v>
      </c>
      <c r="U82">
        <v>106.5</v>
      </c>
      <c r="V82">
        <v>110.4</v>
      </c>
      <c r="W82">
        <v>110.8</v>
      </c>
      <c r="X82">
        <v>108.4</v>
      </c>
      <c r="Y82" t="e">
        <v>#N/A</v>
      </c>
    </row>
    <row r="83" spans="1:25">
      <c r="A83" s="95" cm="1">
        <f t="array" ref="A83:Y83">INDEX(INDEX,MATCH(DATE2,INDEX!A:A,0),)</f>
        <v>46143</v>
      </c>
      <c r="B83">
        <v>140.4</v>
      </c>
      <c r="C83">
        <v>141</v>
      </c>
      <c r="D83">
        <v>143.1</v>
      </c>
      <c r="E83">
        <v>126.3</v>
      </c>
      <c r="F83">
        <v>139.5</v>
      </c>
      <c r="G83">
        <v>139.80000000000001</v>
      </c>
      <c r="H83">
        <v>139.9</v>
      </c>
      <c r="I83">
        <v>155.69999999999999</v>
      </c>
      <c r="J83">
        <v>143.69999999999999</v>
      </c>
      <c r="K83">
        <v>143.9</v>
      </c>
      <c r="L83">
        <v>139.9</v>
      </c>
      <c r="M83">
        <v>141.9</v>
      </c>
      <c r="N83">
        <v>138.19999999999999</v>
      </c>
      <c r="O83">
        <v>146.19999999999999</v>
      </c>
      <c r="P83">
        <v>131.80000000000001</v>
      </c>
      <c r="Q83">
        <v>135</v>
      </c>
      <c r="R83">
        <v>139</v>
      </c>
      <c r="S83">
        <v>136.9</v>
      </c>
      <c r="T83">
        <v>142.69999999999999</v>
      </c>
      <c r="U83">
        <v>133.9</v>
      </c>
      <c r="V83">
        <v>134.1</v>
      </c>
      <c r="W83">
        <v>130.80000000000001</v>
      </c>
      <c r="X83">
        <v>153.80000000000001</v>
      </c>
      <c r="Y83">
        <v>140.6</v>
      </c>
    </row>
  </sheetData>
  <sheetProtection algorithmName="SHA-512" hashValue="g8xlWKIVg5Lbp7GW5W5Ph3F0+Jc7jEV+lyKQ+1aAzj9RqMkfft9t4Qe8TPCJf675/rr0Yg/ZqihZM+/tR3TTJA==" saltValue="WvrkzmMpM4z8f2pxAhbPOw==" spinCount="100000" sheet="1" objects="1" scenarios="1"/>
  <mergeCells count="9">
    <mergeCell ref="B81:E81"/>
    <mergeCell ref="B6:D6"/>
    <mergeCell ref="B22:D22"/>
    <mergeCell ref="B38:D38"/>
    <mergeCell ref="B1:F2"/>
    <mergeCell ref="B5:E5"/>
    <mergeCell ref="B54:E54"/>
    <mergeCell ref="B55:D55"/>
    <mergeCell ref="B65:D65"/>
  </mergeCells>
  <phoneticPr fontId="44" type="noConversion"/>
  <hyperlinks>
    <hyperlink ref="C3" r:id="rId1" xr:uid="{83B95473-52A5-410C-A07E-6CA13187D01F}"/>
    <hyperlink ref="S3" r:id="rId2" xr:uid="{49FDB361-EFB8-41B8-9F6C-EA4284D67CDF}"/>
    <hyperlink ref="U3" r:id="rId3" xr:uid="{5782AF00-064D-4FE7-9657-474D41C8FC7E}"/>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52241-BD47-4B00-A4FC-D2D8583F7963}">
  <sheetPr codeName="Feuil11">
    <tabColor rgb="FF92D050"/>
  </sheetPr>
  <dimension ref="A1:AP205"/>
  <sheetViews>
    <sheetView workbookViewId="0">
      <pane xSplit="1" ySplit="3" topLeftCell="U117" activePane="bottomRight" state="frozen"/>
      <selection activeCell="K37" sqref="K37"/>
      <selection pane="topRight" activeCell="K37" sqref="K37"/>
      <selection pane="bottomLeft" activeCell="K37" sqref="K37"/>
      <selection pane="bottomRight" activeCell="AA47" sqref="AA47"/>
    </sheetView>
  </sheetViews>
  <sheetFormatPr baseColWidth="10" defaultRowHeight="15"/>
  <cols>
    <col min="1" max="1" width="13.140625" style="95" bestFit="1" customWidth="1"/>
  </cols>
  <sheetData>
    <row r="1" spans="1:42" ht="15" customHeight="1">
      <c r="B1" s="243" t="s">
        <v>196</v>
      </c>
      <c r="C1" s="243"/>
      <c r="D1" s="243"/>
      <c r="E1" s="243"/>
      <c r="F1" s="243"/>
    </row>
    <row r="2" spans="1:42" ht="15" customHeight="1">
      <c r="B2" s="243"/>
      <c r="C2" s="243"/>
      <c r="D2" s="243"/>
      <c r="E2" s="243"/>
      <c r="F2" s="243"/>
    </row>
    <row r="3" spans="1:42">
      <c r="B3" t="s">
        <v>115</v>
      </c>
      <c r="C3" t="s">
        <v>116</v>
      </c>
      <c r="D3" t="s">
        <v>117</v>
      </c>
      <c r="E3" t="s">
        <v>316</v>
      </c>
      <c r="F3" t="s">
        <v>118</v>
      </c>
      <c r="G3" t="s">
        <v>119</v>
      </c>
      <c r="H3" t="s">
        <v>120</v>
      </c>
      <c r="I3" t="s">
        <v>121</v>
      </c>
      <c r="J3" t="s">
        <v>263</v>
      </c>
      <c r="K3" t="s">
        <v>55</v>
      </c>
      <c r="L3" t="s">
        <v>122</v>
      </c>
      <c r="M3" t="s">
        <v>123</v>
      </c>
      <c r="N3" t="s">
        <v>124</v>
      </c>
      <c r="O3" t="s">
        <v>125</v>
      </c>
      <c r="P3" t="s">
        <v>126</v>
      </c>
      <c r="Q3" t="s">
        <v>127</v>
      </c>
      <c r="R3" t="s">
        <v>128</v>
      </c>
      <c r="S3" t="s">
        <v>258</v>
      </c>
      <c r="T3" t="s">
        <v>129</v>
      </c>
      <c r="U3" t="s">
        <v>130</v>
      </c>
      <c r="V3" t="s">
        <v>131</v>
      </c>
      <c r="W3" t="s">
        <v>132</v>
      </c>
      <c r="X3" t="s">
        <v>133</v>
      </c>
      <c r="Y3" t="s">
        <v>134</v>
      </c>
      <c r="Z3" t="s">
        <v>266</v>
      </c>
      <c r="AA3" t="s">
        <v>262</v>
      </c>
      <c r="AB3" t="s">
        <v>135</v>
      </c>
      <c r="AC3" t="s">
        <v>136</v>
      </c>
      <c r="AD3" t="s">
        <v>137</v>
      </c>
      <c r="AE3" t="s">
        <v>138</v>
      </c>
      <c r="AF3" t="s">
        <v>139</v>
      </c>
      <c r="AG3" t="s">
        <v>140</v>
      </c>
      <c r="AH3" t="s">
        <v>141</v>
      </c>
      <c r="AI3" t="s">
        <v>142</v>
      </c>
      <c r="AJ3" t="s">
        <v>143</v>
      </c>
      <c r="AK3" t="s">
        <v>144</v>
      </c>
      <c r="AL3" t="s">
        <v>145</v>
      </c>
      <c r="AM3" t="s">
        <v>148</v>
      </c>
      <c r="AN3" t="s">
        <v>149</v>
      </c>
    </row>
    <row r="5" spans="1:42" ht="18.75">
      <c r="B5" s="235" t="s">
        <v>242</v>
      </c>
      <c r="C5" s="235"/>
      <c r="D5" s="235"/>
      <c r="E5" s="235"/>
    </row>
    <row r="6" spans="1:42">
      <c r="B6" s="242" t="s">
        <v>197</v>
      </c>
      <c r="C6" s="242"/>
      <c r="D6" s="242"/>
    </row>
    <row r="7" spans="1:42">
      <c r="A7" s="104" cm="1">
        <f t="array" ref="A7:AN7">IF(DATE(YEAR(DATE3),1,1)&lt;=DATE3,INDEX(INDICES,MATCH(DATE(YEAR(DATE3),1,1),'INDICES PRIX'!A:A,0),),"")</f>
        <v>46023</v>
      </c>
      <c r="B7" s="43">
        <v>127.6</v>
      </c>
      <c r="C7" s="43">
        <v>142.19999999999999</v>
      </c>
      <c r="D7" s="43">
        <v>137.6</v>
      </c>
      <c r="E7" s="43">
        <v>159</v>
      </c>
      <c r="F7" s="43">
        <v>100.91</v>
      </c>
      <c r="G7" s="43">
        <v>118</v>
      </c>
      <c r="H7" s="43">
        <v>125.7</v>
      </c>
      <c r="I7" s="43">
        <v>155.80000000000001</v>
      </c>
      <c r="J7" s="43">
        <v>71.400000000000006</v>
      </c>
      <c r="K7" s="43">
        <v>133.73804474216251</v>
      </c>
      <c r="L7" s="43">
        <v>100.1</v>
      </c>
      <c r="M7" s="43">
        <v>114.3</v>
      </c>
      <c r="N7" s="43">
        <v>133.4</v>
      </c>
      <c r="O7" s="43">
        <v>85.4</v>
      </c>
      <c r="P7" s="43">
        <v>116.5</v>
      </c>
      <c r="Q7" s="43">
        <v>104.2</v>
      </c>
      <c r="R7" s="43">
        <v>150.1</v>
      </c>
      <c r="S7" s="43">
        <v>112.4</v>
      </c>
      <c r="T7" s="43">
        <v>90.2</v>
      </c>
      <c r="U7" s="43">
        <v>96</v>
      </c>
      <c r="V7" s="43">
        <v>126.8</v>
      </c>
      <c r="W7" s="43">
        <v>115.1</v>
      </c>
      <c r="X7" s="43">
        <v>127.5</v>
      </c>
      <c r="Y7" s="43">
        <v>139.6</v>
      </c>
      <c r="Z7" s="43">
        <v>130.4</v>
      </c>
      <c r="AA7" s="43">
        <v>118.1</v>
      </c>
      <c r="AB7" s="43">
        <v>83.8</v>
      </c>
      <c r="AC7" s="43">
        <v>124</v>
      </c>
      <c r="AD7" s="43">
        <v>118.8</v>
      </c>
      <c r="AE7" s="43">
        <v>134.4</v>
      </c>
      <c r="AF7" s="43">
        <v>128.80000000000001</v>
      </c>
      <c r="AG7" s="43">
        <v>135</v>
      </c>
      <c r="AH7" s="43">
        <v>104.9</v>
      </c>
      <c r="AI7" s="43">
        <v>82.1</v>
      </c>
      <c r="AJ7" s="43">
        <v>130.9</v>
      </c>
      <c r="AK7" s="43">
        <v>93</v>
      </c>
      <c r="AL7" s="43">
        <v>81.900000000000006</v>
      </c>
      <c r="AM7" s="43">
        <v>118.3</v>
      </c>
      <c r="AN7" s="43">
        <v>110.2</v>
      </c>
      <c r="AO7" s="43"/>
      <c r="AP7" s="7"/>
    </row>
    <row r="8" spans="1:42">
      <c r="A8" s="106" cm="1">
        <f t="array" ref="A8:AN8">IF(A7&lt;DATE3,INDEX(INDICES,MATCH(EDATE(A7,1),'INDICES PRIX'!A:A,0),),"")</f>
        <v>46054</v>
      </c>
      <c r="B8">
        <v>125.9</v>
      </c>
      <c r="C8">
        <v>142.6</v>
      </c>
      <c r="D8">
        <v>137.9</v>
      </c>
      <c r="E8">
        <v>162.4</v>
      </c>
      <c r="F8">
        <v>103.42</v>
      </c>
      <c r="G8">
        <v>119.2</v>
      </c>
      <c r="H8">
        <v>125.7</v>
      </c>
      <c r="I8">
        <v>147.1</v>
      </c>
      <c r="J8">
        <v>80.7</v>
      </c>
      <c r="K8">
        <v>139.37546497387086</v>
      </c>
      <c r="L8">
        <v>101.1</v>
      </c>
      <c r="M8">
        <v>114.4</v>
      </c>
      <c r="N8">
        <v>133.4</v>
      </c>
      <c r="O8">
        <v>85.9</v>
      </c>
      <c r="P8">
        <v>118.3</v>
      </c>
      <c r="Q8">
        <v>103.4</v>
      </c>
      <c r="R8">
        <v>148.9</v>
      </c>
      <c r="S8">
        <v>112</v>
      </c>
      <c r="T8">
        <v>91.3</v>
      </c>
      <c r="U8">
        <v>97.3</v>
      </c>
      <c r="V8">
        <v>128.4</v>
      </c>
      <c r="W8">
        <v>114.3</v>
      </c>
      <c r="X8">
        <v>128.9</v>
      </c>
      <c r="Y8">
        <v>141.69999999999999</v>
      </c>
      <c r="Z8">
        <v>130.9</v>
      </c>
      <c r="AA8">
        <v>118.1</v>
      </c>
      <c r="AB8">
        <v>84.3</v>
      </c>
      <c r="AC8">
        <v>124.7</v>
      </c>
      <c r="AD8">
        <v>119.2</v>
      </c>
      <c r="AE8">
        <v>137.9</v>
      </c>
      <c r="AF8">
        <v>128.69999999999999</v>
      </c>
      <c r="AG8">
        <v>136.80000000000001</v>
      </c>
      <c r="AH8">
        <v>106.6</v>
      </c>
      <c r="AI8">
        <v>82.1</v>
      </c>
      <c r="AJ8">
        <v>130.30000000000001</v>
      </c>
      <c r="AK8">
        <v>94.8</v>
      </c>
      <c r="AL8">
        <v>83.7</v>
      </c>
      <c r="AM8">
        <v>119.3</v>
      </c>
      <c r="AN8">
        <v>111.9</v>
      </c>
      <c r="AP8" s="107"/>
    </row>
    <row r="9" spans="1:42">
      <c r="A9" s="106" cm="1">
        <f t="array" ref="A9:AN9">IF(A8&lt;DATE3,INDEX(INDICES,MATCH(EDATE(A8,1),'INDICES PRIX'!A:A,0),),"")</f>
        <v>46082</v>
      </c>
      <c r="B9">
        <v>126.5</v>
      </c>
      <c r="C9">
        <v>143</v>
      </c>
      <c r="D9">
        <v>138.19999999999999</v>
      </c>
      <c r="E9">
        <v>224.3</v>
      </c>
      <c r="F9">
        <v>126.08</v>
      </c>
      <c r="G9">
        <v>119.2</v>
      </c>
      <c r="H9">
        <v>125.7</v>
      </c>
      <c r="I9">
        <v>140.30000000000001</v>
      </c>
      <c r="J9">
        <v>93.9</v>
      </c>
      <c r="K9">
        <v>197.64653510476802</v>
      </c>
      <c r="L9">
        <v>102</v>
      </c>
      <c r="M9">
        <v>114.4</v>
      </c>
      <c r="N9">
        <v>133.69999999999999</v>
      </c>
      <c r="O9">
        <v>87.6</v>
      </c>
      <c r="P9">
        <v>118.5</v>
      </c>
      <c r="Q9">
        <v>104.6</v>
      </c>
      <c r="R9">
        <v>148.9</v>
      </c>
      <c r="S9">
        <v>112</v>
      </c>
      <c r="T9">
        <v>91.3</v>
      </c>
      <c r="U9">
        <v>109</v>
      </c>
      <c r="V9">
        <v>122.7</v>
      </c>
      <c r="W9">
        <v>115.4</v>
      </c>
      <c r="X9">
        <v>131.30000000000001</v>
      </c>
      <c r="Y9">
        <v>140.4</v>
      </c>
      <c r="Z9">
        <v>130.9</v>
      </c>
      <c r="AA9">
        <v>118.4</v>
      </c>
      <c r="AB9">
        <v>90.2</v>
      </c>
      <c r="AC9">
        <v>127</v>
      </c>
      <c r="AD9">
        <v>117.8</v>
      </c>
      <c r="AE9">
        <v>137.9</v>
      </c>
      <c r="AF9">
        <v>127</v>
      </c>
      <c r="AG9">
        <v>133.5</v>
      </c>
      <c r="AH9">
        <v>107.1</v>
      </c>
      <c r="AI9">
        <v>82.9</v>
      </c>
      <c r="AJ9">
        <v>126.5</v>
      </c>
      <c r="AK9">
        <v>95.9</v>
      </c>
      <c r="AL9">
        <v>84.8</v>
      </c>
      <c r="AM9">
        <v>118.4</v>
      </c>
      <c r="AN9">
        <v>113.1</v>
      </c>
      <c r="AP9" s="107"/>
    </row>
    <row r="10" spans="1:42">
      <c r="A10" s="106" cm="1">
        <f t="array" ref="A10:AN10">IF(A9&lt;DATE3,INDEX(INDICES,MATCH(EDATE(A9,1),'INDICES PRIX'!A:A,0),),"")</f>
        <v>46113</v>
      </c>
      <c r="B10">
        <v>128.1</v>
      </c>
      <c r="C10">
        <v>143</v>
      </c>
      <c r="D10">
        <v>138.19999999999999</v>
      </c>
      <c r="E10">
        <v>230.3</v>
      </c>
      <c r="F10">
        <v>138.74</v>
      </c>
      <c r="G10">
        <v>121.4</v>
      </c>
      <c r="H10">
        <v>129.19999999999999</v>
      </c>
      <c r="I10">
        <v>124.4</v>
      </c>
      <c r="J10">
        <v>122.2</v>
      </c>
      <c r="K10">
        <v>223.06810935718863</v>
      </c>
      <c r="L10">
        <v>108</v>
      </c>
      <c r="M10">
        <v>114.6</v>
      </c>
      <c r="N10">
        <v>137.5</v>
      </c>
      <c r="O10">
        <v>91.3</v>
      </c>
      <c r="P10">
        <v>121</v>
      </c>
      <c r="Q10">
        <v>111.3</v>
      </c>
      <c r="R10">
        <v>149.1</v>
      </c>
      <c r="S10">
        <v>114.8</v>
      </c>
      <c r="T10">
        <v>91.3</v>
      </c>
      <c r="U10">
        <v>149.80000000000001</v>
      </c>
      <c r="V10">
        <v>123.7</v>
      </c>
      <c r="W10">
        <v>117.1</v>
      </c>
      <c r="X10">
        <v>130.5</v>
      </c>
      <c r="Y10">
        <v>140</v>
      </c>
      <c r="Z10">
        <v>130.9</v>
      </c>
      <c r="AA10">
        <v>118.7</v>
      </c>
      <c r="AB10">
        <v>119.6</v>
      </c>
      <c r="AC10">
        <v>124</v>
      </c>
      <c r="AD10">
        <v>118.2</v>
      </c>
      <c r="AE10">
        <v>137.9</v>
      </c>
      <c r="AF10">
        <v>133.4</v>
      </c>
      <c r="AG10">
        <v>144.80000000000001</v>
      </c>
      <c r="AH10">
        <v>107.2</v>
      </c>
      <c r="AI10">
        <v>83.5</v>
      </c>
      <c r="AJ10">
        <v>127.4</v>
      </c>
      <c r="AK10">
        <v>99.9</v>
      </c>
      <c r="AL10">
        <v>87.3</v>
      </c>
      <c r="AM10">
        <v>119</v>
      </c>
      <c r="AN10">
        <v>115.1</v>
      </c>
      <c r="AP10" s="107"/>
    </row>
    <row r="11" spans="1:42">
      <c r="A11" s="106" cm="1">
        <f t="array" ref="A11:AN11">IF(A10&lt;DATE3,INDEX(INDICES,MATCH(EDATE(A10,1),'INDICES PRIX'!A:A,0),),"")</f>
        <v>46143</v>
      </c>
      <c r="B11">
        <v>127.8</v>
      </c>
      <c r="C11">
        <v>143</v>
      </c>
      <c r="D11">
        <v>138.19999999999999</v>
      </c>
      <c r="E11">
        <v>212.8</v>
      </c>
      <c r="F11">
        <v>131.69999999999999</v>
      </c>
      <c r="G11">
        <v>120.7</v>
      </c>
      <c r="H11">
        <v>129.19999999999999</v>
      </c>
      <c r="I11">
        <v>109.7</v>
      </c>
      <c r="J11">
        <v>109.8</v>
      </c>
      <c r="K11">
        <v>205.64174430131035</v>
      </c>
      <c r="L11">
        <v>119.5</v>
      </c>
      <c r="M11">
        <v>114.6</v>
      </c>
      <c r="N11">
        <v>136.5</v>
      </c>
      <c r="O11">
        <v>95.4</v>
      </c>
      <c r="P11">
        <v>120</v>
      </c>
      <c r="Q11">
        <v>120.4</v>
      </c>
      <c r="R11">
        <v>151.4</v>
      </c>
      <c r="S11">
        <v>118.6</v>
      </c>
      <c r="T11">
        <v>91.3</v>
      </c>
      <c r="U11">
        <v>149.4</v>
      </c>
      <c r="V11">
        <v>123</v>
      </c>
      <c r="W11">
        <v>117.5</v>
      </c>
      <c r="X11">
        <v>131.69999999999999</v>
      </c>
      <c r="Y11">
        <v>141.69999999999999</v>
      </c>
      <c r="Z11">
        <v>130.9</v>
      </c>
      <c r="AA11">
        <v>119.2</v>
      </c>
      <c r="AB11">
        <v>121.9</v>
      </c>
      <c r="AC11">
        <v>125.8</v>
      </c>
      <c r="AD11">
        <v>118.4</v>
      </c>
      <c r="AE11">
        <v>137.9</v>
      </c>
      <c r="AF11">
        <v>133.6</v>
      </c>
      <c r="AG11">
        <v>144.80000000000001</v>
      </c>
      <c r="AH11">
        <v>106.8</v>
      </c>
      <c r="AI11">
        <v>84</v>
      </c>
      <c r="AJ11">
        <v>129.4</v>
      </c>
      <c r="AK11">
        <v>101.3</v>
      </c>
      <c r="AL11">
        <v>89.3</v>
      </c>
      <c r="AM11">
        <v>119.2</v>
      </c>
      <c r="AN11">
        <v>116.9</v>
      </c>
      <c r="AP11" s="107"/>
    </row>
    <row r="12" spans="1:42">
      <c r="A12" s="106" t="str" cm="1">
        <f t="array" ref="A12">IF(A11&lt;DATE3,INDEX(INDICES,MATCH(EDATE(A11,1),'INDICES PRIX'!A:A,0),),"")</f>
        <v/>
      </c>
      <c r="AP12" s="107"/>
    </row>
    <row r="13" spans="1:42">
      <c r="A13" s="106" t="str" cm="1">
        <f t="array" ref="A13">IF(A12&lt;DATE3,INDEX(INDICES,MATCH(EDATE(A12,1),'INDICES PRIX'!A:A,0),),"")</f>
        <v/>
      </c>
      <c r="AP13" s="107"/>
    </row>
    <row r="14" spans="1:42">
      <c r="A14" s="106" t="str" cm="1">
        <f t="array" ref="A14">IF(A13&lt;DATE3,INDEX(INDICES,MATCH(EDATE(A13,1),'INDICES PRIX'!A:A,0),),"")</f>
        <v/>
      </c>
      <c r="AP14" s="107"/>
    </row>
    <row r="15" spans="1:42">
      <c r="A15" s="106" t="str" cm="1">
        <f t="array" ref="A15">IF(A14&lt;DATE3,INDEX(INDICES,MATCH(EDATE(A14,1),'INDICES PRIX'!A:A,0),),"")</f>
        <v/>
      </c>
      <c r="AP15" s="107"/>
    </row>
    <row r="16" spans="1:42">
      <c r="A16" s="106" t="str" cm="1">
        <f t="array" ref="A16">IF(A15&lt;DATE3,INDEX(INDICES,MATCH(EDATE(A15,1),'INDICES PRIX'!A:A,0),),"")</f>
        <v/>
      </c>
      <c r="AP16" s="107"/>
    </row>
    <row r="17" spans="1:42">
      <c r="A17" s="106" t="str" cm="1">
        <f t="array" ref="A17">IF(A16&lt;DATE3,INDEX(INDICES,MATCH(EDATE(A16,1),'INDICES PRIX'!A:A,0),),"")</f>
        <v/>
      </c>
      <c r="AP17" s="107"/>
    </row>
    <row r="18" spans="1:42">
      <c r="A18" s="106" t="str" cm="1">
        <f t="array" ref="A18">IF(A17&lt;DATE3,INDEX(INDICES,MATCH(EDATE(A17,1),'INDICES PRIX'!A:A,0),),"")</f>
        <v/>
      </c>
      <c r="AP18" s="107"/>
    </row>
    <row r="19" spans="1:42">
      <c r="A19" s="108" t="str" cm="1">
        <f t="array" ref="A19">IF(A18&lt;DATE3,INDEX(INDICES,MATCH(EDATE(A18,1),'INDICES PRIX'!A:A,0),),"")</f>
        <v/>
      </c>
      <c r="B19" s="109"/>
      <c r="C19" s="109"/>
      <c r="D19" s="109"/>
      <c r="E19" s="109"/>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109"/>
      <c r="AL19" s="109"/>
      <c r="AM19" s="109"/>
      <c r="AN19" s="109"/>
      <c r="AO19" s="109"/>
      <c r="AP19" s="110"/>
    </row>
    <row r="20" spans="1:42">
      <c r="A20" s="95" t="s">
        <v>198</v>
      </c>
      <c r="B20">
        <f>SUM(B7:B19)</f>
        <v>635.9</v>
      </c>
      <c r="C20">
        <f t="shared" ref="C20:AP20" si="0">SUM(C7:C19)</f>
        <v>713.8</v>
      </c>
      <c r="D20">
        <f t="shared" si="0"/>
        <v>690.09999999999991</v>
      </c>
      <c r="E20">
        <f t="shared" si="0"/>
        <v>988.8</v>
      </c>
      <c r="F20">
        <f t="shared" si="0"/>
        <v>600.84999999999991</v>
      </c>
      <c r="G20">
        <f t="shared" si="0"/>
        <v>598.5</v>
      </c>
      <c r="H20">
        <f t="shared" si="0"/>
        <v>635.5</v>
      </c>
      <c r="I20">
        <f t="shared" si="0"/>
        <v>677.30000000000007</v>
      </c>
      <c r="J20">
        <f t="shared" si="0"/>
        <v>478.00000000000006</v>
      </c>
      <c r="K20">
        <f t="shared" si="0"/>
        <v>899.46989847930035</v>
      </c>
      <c r="L20">
        <f t="shared" si="0"/>
        <v>530.70000000000005</v>
      </c>
      <c r="M20">
        <f t="shared" si="0"/>
        <v>572.30000000000007</v>
      </c>
      <c r="N20">
        <f t="shared" si="0"/>
        <v>674.5</v>
      </c>
      <c r="O20">
        <f t="shared" si="0"/>
        <v>445.6</v>
      </c>
      <c r="P20">
        <f t="shared" si="0"/>
        <v>594.29999999999995</v>
      </c>
      <c r="Q20">
        <f t="shared" si="0"/>
        <v>543.90000000000009</v>
      </c>
      <c r="R20">
        <f t="shared" si="0"/>
        <v>748.4</v>
      </c>
      <c r="S20">
        <f t="shared" si="0"/>
        <v>569.79999999999995</v>
      </c>
      <c r="T20">
        <f t="shared" si="0"/>
        <v>455.40000000000003</v>
      </c>
      <c r="U20">
        <f t="shared" si="0"/>
        <v>601.5</v>
      </c>
      <c r="V20">
        <f t="shared" si="0"/>
        <v>624.59999999999991</v>
      </c>
      <c r="W20">
        <f t="shared" si="0"/>
        <v>579.4</v>
      </c>
      <c r="X20">
        <f t="shared" si="0"/>
        <v>649.90000000000009</v>
      </c>
      <c r="Y20">
        <f t="shared" si="0"/>
        <v>703.39999999999986</v>
      </c>
      <c r="Z20">
        <f t="shared" si="0"/>
        <v>654</v>
      </c>
      <c r="AA20">
        <f t="shared" si="0"/>
        <v>592.5</v>
      </c>
      <c r="AB20">
        <f t="shared" si="0"/>
        <v>499.79999999999995</v>
      </c>
      <c r="AC20">
        <f t="shared" si="0"/>
        <v>625.5</v>
      </c>
      <c r="AD20">
        <f t="shared" si="0"/>
        <v>592.4</v>
      </c>
      <c r="AE20">
        <f t="shared" si="0"/>
        <v>686</v>
      </c>
      <c r="AF20">
        <f t="shared" si="0"/>
        <v>651.5</v>
      </c>
      <c r="AG20">
        <f t="shared" si="0"/>
        <v>694.90000000000009</v>
      </c>
      <c r="AH20">
        <f t="shared" si="0"/>
        <v>532.6</v>
      </c>
      <c r="AI20">
        <f t="shared" si="0"/>
        <v>414.6</v>
      </c>
      <c r="AJ20">
        <f t="shared" si="0"/>
        <v>644.5</v>
      </c>
      <c r="AK20">
        <f t="shared" si="0"/>
        <v>484.90000000000003</v>
      </c>
      <c r="AL20">
        <f t="shared" si="0"/>
        <v>427.00000000000006</v>
      </c>
      <c r="AM20">
        <f t="shared" si="0"/>
        <v>594.20000000000005</v>
      </c>
      <c r="AN20">
        <f t="shared" si="0"/>
        <v>567.20000000000005</v>
      </c>
      <c r="AO20">
        <f t="shared" si="0"/>
        <v>0</v>
      </c>
      <c r="AP20">
        <f t="shared" si="0"/>
        <v>0</v>
      </c>
    </row>
    <row r="22" spans="1:42">
      <c r="B22" s="242" t="s">
        <v>193</v>
      </c>
      <c r="C22" s="242"/>
      <c r="D22" s="242"/>
    </row>
    <row r="23" spans="1:42">
      <c r="A23" s="104" cm="1">
        <f t="array" ref="A23:AN23">IF(DATE(YEAR(EDATE(DATE3,-12)),1,1)&lt;DATE3,INDEX(INDICES,MATCH(DATE(YEAR(EDATE(DATE3,-12)),1,1),'INDICES PRIX'!A:A,0),),"")</f>
        <v>45658</v>
      </c>
      <c r="B23" s="43">
        <v>124.3</v>
      </c>
      <c r="C23" s="43">
        <v>137.19999999999999</v>
      </c>
      <c r="D23" s="43">
        <v>134.6</v>
      </c>
      <c r="E23" s="43">
        <v>157.1</v>
      </c>
      <c r="F23" s="43">
        <v>104.75</v>
      </c>
      <c r="G23" s="43">
        <v>118</v>
      </c>
      <c r="H23" s="43">
        <v>123.5</v>
      </c>
      <c r="I23" s="43">
        <v>182.9</v>
      </c>
      <c r="J23" s="43">
        <v>115.1</v>
      </c>
      <c r="K23" s="43">
        <v>143.16999999999999</v>
      </c>
      <c r="L23" s="43">
        <v>102.1</v>
      </c>
      <c r="M23" s="43">
        <v>110.9</v>
      </c>
      <c r="N23" s="43">
        <v>131.19999999999999</v>
      </c>
      <c r="O23" s="43">
        <v>86.3</v>
      </c>
      <c r="P23" s="43">
        <v>116.8</v>
      </c>
      <c r="Q23" s="43">
        <v>107.1</v>
      </c>
      <c r="R23" s="43">
        <v>147.5</v>
      </c>
      <c r="S23" s="43">
        <v>118.1</v>
      </c>
      <c r="T23" s="43">
        <v>90.3</v>
      </c>
      <c r="U23" s="43">
        <v>124</v>
      </c>
      <c r="V23" s="43">
        <v>125.8</v>
      </c>
      <c r="W23" s="43">
        <v>115.4</v>
      </c>
      <c r="X23" s="43">
        <v>127.2</v>
      </c>
      <c r="Y23" s="43">
        <v>139.80000000000001</v>
      </c>
      <c r="Z23" s="43">
        <v>127.5</v>
      </c>
      <c r="AA23" s="43">
        <v>115.1</v>
      </c>
      <c r="AB23" s="43">
        <v>94.2</v>
      </c>
      <c r="AC23" s="43">
        <v>123.3</v>
      </c>
      <c r="AD23" s="43">
        <v>118.1</v>
      </c>
      <c r="AE23" s="43">
        <v>123.9</v>
      </c>
      <c r="AF23" s="43">
        <v>117.4</v>
      </c>
      <c r="AG23" s="43">
        <v>119.9</v>
      </c>
      <c r="AH23" s="43">
        <v>106.3</v>
      </c>
      <c r="AI23" s="43">
        <v>87.7</v>
      </c>
      <c r="AJ23" s="43">
        <v>134.4</v>
      </c>
      <c r="AK23" s="43">
        <v>92.7</v>
      </c>
      <c r="AL23" s="43">
        <v>80.400000000000006</v>
      </c>
      <c r="AM23" s="43">
        <v>118.1</v>
      </c>
      <c r="AN23" s="43">
        <v>109</v>
      </c>
      <c r="AO23" s="43"/>
      <c r="AP23" s="7"/>
    </row>
    <row r="24" spans="1:42">
      <c r="A24" s="106" cm="1">
        <f t="array" ref="A24:AN24">IF(A23&lt;EDATE(DATE3,-12),INDEX(INDICES,MATCH(EDATE(A23,1),'INDICES PRIX'!A:A,0),),"")</f>
        <v>45689</v>
      </c>
      <c r="B24">
        <v>124.8</v>
      </c>
      <c r="C24">
        <v>137.4</v>
      </c>
      <c r="D24">
        <v>134.9</v>
      </c>
      <c r="E24">
        <v>155.6</v>
      </c>
      <c r="F24">
        <v>104.6</v>
      </c>
      <c r="G24">
        <v>118.8</v>
      </c>
      <c r="H24">
        <v>123.5</v>
      </c>
      <c r="I24">
        <v>162.4</v>
      </c>
      <c r="J24">
        <v>113.8</v>
      </c>
      <c r="K24">
        <v>142.03</v>
      </c>
      <c r="L24">
        <v>101.2</v>
      </c>
      <c r="M24">
        <v>110.9</v>
      </c>
      <c r="N24">
        <v>130.19999999999999</v>
      </c>
      <c r="O24">
        <v>87.5</v>
      </c>
      <c r="P24">
        <v>116.7</v>
      </c>
      <c r="Q24">
        <v>107.2</v>
      </c>
      <c r="R24">
        <v>146.30000000000001</v>
      </c>
      <c r="S24">
        <v>118</v>
      </c>
      <c r="T24">
        <v>91.2</v>
      </c>
      <c r="U24">
        <v>129.19999999999999</v>
      </c>
      <c r="V24">
        <v>128.19999999999999</v>
      </c>
      <c r="W24">
        <v>116.3</v>
      </c>
      <c r="X24">
        <v>128.69999999999999</v>
      </c>
      <c r="Y24">
        <v>139.6</v>
      </c>
      <c r="Z24">
        <v>128.19999999999999</v>
      </c>
      <c r="AA24">
        <v>115</v>
      </c>
      <c r="AB24">
        <v>94.6</v>
      </c>
      <c r="AC24">
        <v>120.3</v>
      </c>
      <c r="AD24">
        <v>118.6</v>
      </c>
      <c r="AE24">
        <v>126.7</v>
      </c>
      <c r="AF24">
        <v>116.5</v>
      </c>
      <c r="AG24">
        <v>116.7</v>
      </c>
      <c r="AH24">
        <v>106.8</v>
      </c>
      <c r="AI24">
        <v>87.2</v>
      </c>
      <c r="AJ24">
        <v>135.4</v>
      </c>
      <c r="AK24">
        <v>94</v>
      </c>
      <c r="AL24">
        <v>80.7</v>
      </c>
      <c r="AM24">
        <v>118.3</v>
      </c>
      <c r="AN24">
        <v>109.6</v>
      </c>
      <c r="AP24" s="107"/>
    </row>
    <row r="25" spans="1:42">
      <c r="A25" s="106" cm="1">
        <f t="array" ref="A25:AN25">IF(A24&lt;EDATE(DATE3,-12),INDEX(INDICES,MATCH(EDATE(A24,1),'INDICES PRIX'!A:A,0),),"")</f>
        <v>45717</v>
      </c>
      <c r="B25">
        <v>124.5</v>
      </c>
      <c r="C25">
        <v>137.6</v>
      </c>
      <c r="D25">
        <v>135.19999999999999</v>
      </c>
      <c r="E25">
        <v>145.69999999999999</v>
      </c>
      <c r="F25">
        <v>101.29</v>
      </c>
      <c r="G25">
        <v>118.5</v>
      </c>
      <c r="H25">
        <v>123.5</v>
      </c>
      <c r="I25">
        <v>155.5</v>
      </c>
      <c r="J25">
        <v>114.6</v>
      </c>
      <c r="K25">
        <v>133.53</v>
      </c>
      <c r="L25">
        <v>101.2</v>
      </c>
      <c r="M25">
        <v>111</v>
      </c>
      <c r="N25">
        <v>130.1</v>
      </c>
      <c r="O25">
        <v>88.3</v>
      </c>
      <c r="P25">
        <v>116.3</v>
      </c>
      <c r="Q25">
        <v>106.9</v>
      </c>
      <c r="R25">
        <v>143.9</v>
      </c>
      <c r="S25">
        <v>113.5</v>
      </c>
      <c r="T25">
        <v>92.3</v>
      </c>
      <c r="U25">
        <v>128.9</v>
      </c>
      <c r="V25">
        <v>130.9</v>
      </c>
      <c r="W25">
        <v>113.9</v>
      </c>
      <c r="X25">
        <v>130.30000000000001</v>
      </c>
      <c r="Y25">
        <v>138.9</v>
      </c>
      <c r="Z25">
        <v>128.9</v>
      </c>
      <c r="AA25">
        <v>115</v>
      </c>
      <c r="AB25">
        <v>95</v>
      </c>
      <c r="AC25">
        <v>121.1</v>
      </c>
      <c r="AD25">
        <v>118.7</v>
      </c>
      <c r="AE25">
        <v>127.8</v>
      </c>
      <c r="AF25">
        <v>116.6</v>
      </c>
      <c r="AG25">
        <v>117.1</v>
      </c>
      <c r="AH25">
        <v>108.5</v>
      </c>
      <c r="AI25">
        <v>85.7</v>
      </c>
      <c r="AJ25">
        <v>136.1</v>
      </c>
      <c r="AK25">
        <v>94</v>
      </c>
      <c r="AL25">
        <v>82.2</v>
      </c>
      <c r="AM25">
        <v>118.4</v>
      </c>
      <c r="AN25">
        <v>110.9</v>
      </c>
      <c r="AP25" s="107"/>
    </row>
    <row r="26" spans="1:42">
      <c r="A26" s="106" cm="1">
        <f t="array" ref="A26:AN26">IF(A25&lt;EDATE(DATE3,-12),INDEX(INDICES,MATCH(EDATE(A25,1),'INDICES PRIX'!A:A,0),),"")</f>
        <v>45748</v>
      </c>
      <c r="B26">
        <v>126.2</v>
      </c>
      <c r="C26">
        <v>138</v>
      </c>
      <c r="D26">
        <v>135.4</v>
      </c>
      <c r="E26">
        <v>141</v>
      </c>
      <c r="F26">
        <v>97.24</v>
      </c>
      <c r="G26">
        <v>119.4</v>
      </c>
      <c r="H26">
        <v>125.5</v>
      </c>
      <c r="I26">
        <v>135.1</v>
      </c>
      <c r="J26">
        <v>93</v>
      </c>
      <c r="K26">
        <v>124.17</v>
      </c>
      <c r="L26">
        <v>100.9</v>
      </c>
      <c r="M26">
        <v>110.9</v>
      </c>
      <c r="N26">
        <v>131.5</v>
      </c>
      <c r="O26">
        <v>89.1</v>
      </c>
      <c r="P26">
        <v>116.9</v>
      </c>
      <c r="Q26">
        <v>107.4</v>
      </c>
      <c r="R26">
        <v>145.80000000000001</v>
      </c>
      <c r="S26">
        <v>114.6</v>
      </c>
      <c r="T26">
        <v>92.3</v>
      </c>
      <c r="U26">
        <v>124.6</v>
      </c>
      <c r="V26">
        <v>130.5</v>
      </c>
      <c r="W26">
        <v>114</v>
      </c>
      <c r="X26">
        <v>128.5</v>
      </c>
      <c r="Y26">
        <v>139.30000000000001</v>
      </c>
      <c r="Z26">
        <v>129.1</v>
      </c>
      <c r="AA26">
        <v>116.2</v>
      </c>
      <c r="AB26">
        <v>93.8</v>
      </c>
      <c r="AC26">
        <v>120.7</v>
      </c>
      <c r="AD26">
        <v>118.5</v>
      </c>
      <c r="AE26">
        <v>129.1</v>
      </c>
      <c r="AF26">
        <v>116.9</v>
      </c>
      <c r="AG26">
        <v>117</v>
      </c>
      <c r="AH26">
        <v>106.3</v>
      </c>
      <c r="AI26">
        <v>84.7</v>
      </c>
      <c r="AJ26">
        <v>135.1</v>
      </c>
      <c r="AK26">
        <v>95.1</v>
      </c>
      <c r="AL26">
        <v>82.2</v>
      </c>
      <c r="AM26">
        <v>118.1</v>
      </c>
      <c r="AN26">
        <v>111</v>
      </c>
      <c r="AP26" s="107"/>
    </row>
    <row r="27" spans="1:42">
      <c r="A27" s="106" cm="1">
        <f t="array" ref="A27:AN27">IF(A26&lt;EDATE(DATE3,-12),INDEX(INDICES,MATCH(EDATE(A26,1),'INDICES PRIX'!A:A,0),),"")</f>
        <v>45778</v>
      </c>
      <c r="B27">
        <v>126.4</v>
      </c>
      <c r="C27">
        <v>138.4</v>
      </c>
      <c r="D27">
        <v>135.6</v>
      </c>
      <c r="E27">
        <v>140</v>
      </c>
      <c r="F27">
        <v>95.45</v>
      </c>
      <c r="G27">
        <v>118.1</v>
      </c>
      <c r="H27">
        <v>125.5</v>
      </c>
      <c r="I27">
        <v>113.3</v>
      </c>
      <c r="J27">
        <v>84.1</v>
      </c>
      <c r="K27">
        <v>120.39</v>
      </c>
      <c r="L27">
        <v>101.6</v>
      </c>
      <c r="M27">
        <v>113.3</v>
      </c>
      <c r="N27">
        <v>131.69999999999999</v>
      </c>
      <c r="O27">
        <v>89.6</v>
      </c>
      <c r="P27">
        <v>116.2</v>
      </c>
      <c r="Q27">
        <v>108.2</v>
      </c>
      <c r="R27">
        <v>145.6</v>
      </c>
      <c r="S27">
        <v>111.1</v>
      </c>
      <c r="T27">
        <v>93.2</v>
      </c>
      <c r="U27">
        <v>116.6</v>
      </c>
      <c r="V27">
        <v>129.80000000000001</v>
      </c>
      <c r="W27">
        <v>114.7</v>
      </c>
      <c r="X27">
        <v>130.6</v>
      </c>
      <c r="Y27">
        <v>140</v>
      </c>
      <c r="Z27">
        <v>130.30000000000001</v>
      </c>
      <c r="AA27">
        <v>115.9</v>
      </c>
      <c r="AB27">
        <v>93.2</v>
      </c>
      <c r="AC27">
        <v>121</v>
      </c>
      <c r="AD27">
        <v>119</v>
      </c>
      <c r="AE27">
        <v>128.6</v>
      </c>
      <c r="AF27">
        <v>119.7</v>
      </c>
      <c r="AG27">
        <v>121.8</v>
      </c>
      <c r="AH27">
        <v>107.4</v>
      </c>
      <c r="AI27">
        <v>84.3</v>
      </c>
      <c r="AJ27">
        <v>135.9</v>
      </c>
      <c r="AK27">
        <v>94.4</v>
      </c>
      <c r="AL27">
        <v>83.1</v>
      </c>
      <c r="AM27">
        <v>118.7</v>
      </c>
      <c r="AN27">
        <v>109.9</v>
      </c>
      <c r="AP27" s="107"/>
    </row>
    <row r="28" spans="1:42">
      <c r="A28" s="106" t="str" cm="1">
        <f t="array" ref="A28">IF(A27&lt;EDATE(DATE3,-12),INDEX(INDICES,MATCH(EDATE(A27,1),'INDICES PRIX'!A:A,0),),"")</f>
        <v/>
      </c>
      <c r="AP28" s="107"/>
    </row>
    <row r="29" spans="1:42">
      <c r="A29" s="106" t="str" cm="1">
        <f t="array" ref="A29">IF(A28&lt;EDATE(DATE3,-12),INDEX(INDICES,MATCH(EDATE(A28,1),'INDICES PRIX'!A:A,0),),"")</f>
        <v/>
      </c>
      <c r="AP29" s="107"/>
    </row>
    <row r="30" spans="1:42">
      <c r="A30" s="106" t="str" cm="1">
        <f t="array" ref="A30">IF(A29&lt;EDATE(DATE3,-12),INDEX(INDICES,MATCH(EDATE(A29,1),'INDICES PRIX'!A:A,0),),"")</f>
        <v/>
      </c>
      <c r="AP30" s="107"/>
    </row>
    <row r="31" spans="1:42">
      <c r="A31" s="106" t="str" cm="1">
        <f t="array" ref="A31">IF(A30&lt;EDATE(DATE3,-12),INDEX(INDICES,MATCH(EDATE(A30,1),'INDICES PRIX'!A:A,0),),"")</f>
        <v/>
      </c>
      <c r="AP31" s="107"/>
    </row>
    <row r="32" spans="1:42">
      <c r="A32" s="106" t="str" cm="1">
        <f t="array" ref="A32">IF(A31&lt;EDATE(DATE3,-12),INDEX(INDICES,MATCH(EDATE(A31,1),'INDICES PRIX'!A:A,0),),"")</f>
        <v/>
      </c>
      <c r="AP32" s="107"/>
    </row>
    <row r="33" spans="1:42">
      <c r="A33" s="106" t="str" cm="1">
        <f t="array" ref="A33">IF(A32&lt;EDATE(DATE3,-12),INDEX(INDICES,MATCH(EDATE(A32,1),'INDICES PRIX'!A:A,0),),"")</f>
        <v/>
      </c>
      <c r="AP33" s="107"/>
    </row>
    <row r="34" spans="1:42">
      <c r="A34" s="106" t="str" cm="1">
        <f t="array" ref="A34">IF(A33&lt;EDATE(DATE3,-12),INDEX(INDICES,MATCH(EDATE(A33,1),'INDICES PRIX'!A:A,0),),"")</f>
        <v/>
      </c>
      <c r="AP34" s="107"/>
    </row>
    <row r="35" spans="1:42">
      <c r="A35" s="108" t="str" cm="1">
        <f t="array" ref="A35">IF(A34&lt;EDATE(DATE3,-12),INDEX(INDICES,MATCH(EDATE(A34,1),'INDICES PRIX'!A:A,0),),"")</f>
        <v/>
      </c>
      <c r="B35" s="109"/>
      <c r="C35" s="109"/>
      <c r="D35" s="109"/>
      <c r="E35" s="109"/>
      <c r="F35" s="109"/>
      <c r="G35" s="109"/>
      <c r="H35" s="109"/>
      <c r="I35" s="109"/>
      <c r="J35" s="109"/>
      <c r="K35" s="109"/>
      <c r="L35" s="109"/>
      <c r="M35" s="109"/>
      <c r="N35" s="109"/>
      <c r="O35" s="109"/>
      <c r="P35" s="109"/>
      <c r="Q35" s="109"/>
      <c r="R35" s="109"/>
      <c r="S35" s="109"/>
      <c r="T35" s="109"/>
      <c r="U35" s="109"/>
      <c r="V35" s="109"/>
      <c r="W35" s="109"/>
      <c r="X35" s="109"/>
      <c r="Y35" s="109"/>
      <c r="Z35" s="109"/>
      <c r="AA35" s="109"/>
      <c r="AB35" s="109"/>
      <c r="AC35" s="109"/>
      <c r="AD35" s="109"/>
      <c r="AE35" s="109"/>
      <c r="AF35" s="109"/>
      <c r="AG35" s="109"/>
      <c r="AH35" s="109"/>
      <c r="AI35" s="109"/>
      <c r="AJ35" s="109"/>
      <c r="AK35" s="109"/>
      <c r="AL35" s="109"/>
      <c r="AM35" s="109"/>
      <c r="AN35" s="109"/>
      <c r="AO35" s="109"/>
      <c r="AP35" s="110"/>
    </row>
    <row r="36" spans="1:42">
      <c r="A36" s="95" t="s">
        <v>198</v>
      </c>
      <c r="B36">
        <f>SUM(B23:B35)</f>
        <v>626.20000000000005</v>
      </c>
      <c r="C36">
        <f>SUM(C23:C35)</f>
        <v>688.6</v>
      </c>
      <c r="D36">
        <f t="shared" ref="D36:AP36" si="1">SUM(D23:D35)</f>
        <v>675.7</v>
      </c>
      <c r="E36">
        <f t="shared" si="1"/>
        <v>739.4</v>
      </c>
      <c r="F36">
        <f t="shared" si="1"/>
        <v>503.33</v>
      </c>
      <c r="G36">
        <f t="shared" si="1"/>
        <v>592.80000000000007</v>
      </c>
      <c r="H36">
        <f t="shared" si="1"/>
        <v>621.5</v>
      </c>
      <c r="I36">
        <f t="shared" si="1"/>
        <v>749.19999999999993</v>
      </c>
      <c r="J36">
        <f t="shared" si="1"/>
        <v>520.6</v>
      </c>
      <c r="K36">
        <f t="shared" si="1"/>
        <v>663.29</v>
      </c>
      <c r="L36">
        <f t="shared" si="1"/>
        <v>507</v>
      </c>
      <c r="M36">
        <f t="shared" si="1"/>
        <v>557</v>
      </c>
      <c r="N36">
        <f t="shared" si="1"/>
        <v>654.70000000000005</v>
      </c>
      <c r="O36">
        <f t="shared" si="1"/>
        <v>440.80000000000007</v>
      </c>
      <c r="P36">
        <f t="shared" si="1"/>
        <v>582.90000000000009</v>
      </c>
      <c r="Q36">
        <f t="shared" si="1"/>
        <v>536.80000000000007</v>
      </c>
      <c r="R36">
        <f t="shared" si="1"/>
        <v>729.1</v>
      </c>
      <c r="S36">
        <f t="shared" si="1"/>
        <v>575.30000000000007</v>
      </c>
      <c r="T36">
        <f t="shared" si="1"/>
        <v>459.3</v>
      </c>
      <c r="U36">
        <f t="shared" si="1"/>
        <v>623.30000000000007</v>
      </c>
      <c r="V36">
        <f t="shared" si="1"/>
        <v>645.20000000000005</v>
      </c>
      <c r="W36">
        <f t="shared" si="1"/>
        <v>574.30000000000007</v>
      </c>
      <c r="X36">
        <f t="shared" si="1"/>
        <v>645.30000000000007</v>
      </c>
      <c r="Y36">
        <f t="shared" si="1"/>
        <v>697.59999999999991</v>
      </c>
      <c r="Z36">
        <f t="shared" si="1"/>
        <v>644</v>
      </c>
      <c r="AA36">
        <f t="shared" si="1"/>
        <v>577.20000000000005</v>
      </c>
      <c r="AB36">
        <f t="shared" si="1"/>
        <v>470.8</v>
      </c>
      <c r="AC36">
        <f t="shared" si="1"/>
        <v>606.4</v>
      </c>
      <c r="AD36">
        <f t="shared" si="1"/>
        <v>592.9</v>
      </c>
      <c r="AE36">
        <f t="shared" si="1"/>
        <v>636.1</v>
      </c>
      <c r="AF36">
        <f t="shared" si="1"/>
        <v>587.1</v>
      </c>
      <c r="AG36">
        <f t="shared" si="1"/>
        <v>592.5</v>
      </c>
      <c r="AH36">
        <f t="shared" si="1"/>
        <v>535.30000000000007</v>
      </c>
      <c r="AI36">
        <f t="shared" si="1"/>
        <v>429.6</v>
      </c>
      <c r="AJ36">
        <f t="shared" si="1"/>
        <v>676.9</v>
      </c>
      <c r="AK36">
        <f t="shared" si="1"/>
        <v>470.19999999999993</v>
      </c>
      <c r="AL36">
        <f t="shared" si="1"/>
        <v>408.6</v>
      </c>
      <c r="AM36">
        <f t="shared" si="1"/>
        <v>591.6</v>
      </c>
      <c r="AN36">
        <f t="shared" si="1"/>
        <v>550.4</v>
      </c>
      <c r="AO36">
        <f t="shared" si="1"/>
        <v>0</v>
      </c>
      <c r="AP36">
        <f t="shared" si="1"/>
        <v>0</v>
      </c>
    </row>
    <row r="38" spans="1:42">
      <c r="B38" s="242" t="s">
        <v>194</v>
      </c>
      <c r="C38" s="242"/>
      <c r="D38" s="242"/>
    </row>
    <row r="39" spans="1:42">
      <c r="A39" s="104" cm="1">
        <f t="array" ref="A39:AN39">IF(DATE(YEAR(EDATE(DATE3,-24)),1,1)&lt;DATE3,INDEX(INDICES,MATCH(DATE(YEAR(EDATE(DATE3,-24)),1,1),'INDICES PRIX'!A:A,0),),"")</f>
        <v>45292</v>
      </c>
      <c r="B39" s="43">
        <v>124</v>
      </c>
      <c r="C39" s="43">
        <v>132.5</v>
      </c>
      <c r="D39" s="43">
        <v>131.19999999999999</v>
      </c>
      <c r="E39" s="43">
        <v>146.30000000000001</v>
      </c>
      <c r="F39" s="43">
        <v>106.91</v>
      </c>
      <c r="G39" s="43">
        <v>116.8</v>
      </c>
      <c r="H39" s="43">
        <v>124</v>
      </c>
      <c r="I39" s="43">
        <v>209.3</v>
      </c>
      <c r="J39" s="43">
        <v>82.3</v>
      </c>
      <c r="K39" s="43">
        <v>148.45206610165278</v>
      </c>
      <c r="L39" s="43">
        <v>110</v>
      </c>
      <c r="M39" s="43">
        <v>106.9</v>
      </c>
      <c r="N39" s="43">
        <v>129.19999999999999</v>
      </c>
      <c r="O39" s="43">
        <v>90.3</v>
      </c>
      <c r="P39" s="43">
        <v>117.2</v>
      </c>
      <c r="Q39" s="43">
        <v>107.1</v>
      </c>
      <c r="R39" s="43">
        <v>145.4</v>
      </c>
      <c r="S39" s="43">
        <v>109.4</v>
      </c>
      <c r="T39" s="43">
        <v>93.2</v>
      </c>
      <c r="U39" s="43">
        <v>112.4</v>
      </c>
      <c r="V39" s="43">
        <v>129.5</v>
      </c>
      <c r="W39" s="43">
        <v>115.1</v>
      </c>
      <c r="X39" s="43">
        <v>128.19999999999999</v>
      </c>
      <c r="Y39" s="43">
        <v>138.4</v>
      </c>
      <c r="Z39" s="43">
        <v>128.4</v>
      </c>
      <c r="AA39" s="43">
        <v>112.8</v>
      </c>
      <c r="AB39" s="43">
        <v>92.3</v>
      </c>
      <c r="AC39" s="43">
        <v>127.5</v>
      </c>
      <c r="AD39" s="43">
        <v>123.2</v>
      </c>
      <c r="AE39" s="43">
        <v>118.6</v>
      </c>
      <c r="AF39" s="43">
        <v>115.9</v>
      </c>
      <c r="AG39" s="43">
        <v>117.1</v>
      </c>
      <c r="AH39" s="43">
        <v>106.4</v>
      </c>
      <c r="AI39" s="43">
        <v>100.4</v>
      </c>
      <c r="AJ39" s="43">
        <v>140.19999999999999</v>
      </c>
      <c r="AK39" s="43">
        <v>97.9</v>
      </c>
      <c r="AL39" s="43">
        <v>88.5</v>
      </c>
      <c r="AM39" s="43">
        <v>115.2</v>
      </c>
      <c r="AN39" s="43">
        <v>107.3</v>
      </c>
      <c r="AO39" s="43"/>
      <c r="AP39" s="7"/>
    </row>
    <row r="40" spans="1:42">
      <c r="A40" s="106" cm="1">
        <f t="array" ref="A40:AN40">IF(A39&lt;EDATE(DATE3,-24),INDEX(INDICES,MATCH(EDATE(A39,1),'INDICES PRIX'!A:A,0),),"")</f>
        <v>45323</v>
      </c>
      <c r="B40">
        <v>124.1</v>
      </c>
      <c r="C40">
        <v>132.69999999999999</v>
      </c>
      <c r="D40">
        <v>131.4</v>
      </c>
      <c r="E40">
        <v>152.9</v>
      </c>
      <c r="F40">
        <v>111.34</v>
      </c>
      <c r="G40">
        <v>117.8</v>
      </c>
      <c r="H40">
        <v>124</v>
      </c>
      <c r="I40">
        <v>193</v>
      </c>
      <c r="J40">
        <v>68.900000000000006</v>
      </c>
      <c r="K40">
        <v>159.28371315062699</v>
      </c>
      <c r="L40">
        <v>107.7</v>
      </c>
      <c r="M40">
        <v>106.9</v>
      </c>
      <c r="N40">
        <v>130.4</v>
      </c>
      <c r="O40">
        <v>91.2</v>
      </c>
      <c r="P40">
        <v>118.2</v>
      </c>
      <c r="Q40">
        <v>107.2</v>
      </c>
      <c r="R40">
        <v>144.5</v>
      </c>
      <c r="S40">
        <v>108.4</v>
      </c>
      <c r="T40">
        <v>95.4</v>
      </c>
      <c r="U40">
        <v>112.4</v>
      </c>
      <c r="V40">
        <v>124.4</v>
      </c>
      <c r="W40">
        <v>116.7</v>
      </c>
      <c r="X40">
        <v>129.1</v>
      </c>
      <c r="Y40">
        <v>138.6</v>
      </c>
      <c r="Z40">
        <v>126.6</v>
      </c>
      <c r="AA40">
        <v>112.5</v>
      </c>
      <c r="AB40">
        <v>93.5</v>
      </c>
      <c r="AC40">
        <v>125.1</v>
      </c>
      <c r="AD40">
        <v>122.2</v>
      </c>
      <c r="AE40">
        <v>116.3</v>
      </c>
      <c r="AF40">
        <v>118.7</v>
      </c>
      <c r="AG40">
        <v>121.8</v>
      </c>
      <c r="AH40">
        <v>108.7</v>
      </c>
      <c r="AI40">
        <v>100.2</v>
      </c>
      <c r="AJ40">
        <v>137.5</v>
      </c>
      <c r="AK40">
        <v>98.8</v>
      </c>
      <c r="AL40">
        <v>88.2</v>
      </c>
      <c r="AM40">
        <v>115.9</v>
      </c>
      <c r="AN40">
        <v>107.9</v>
      </c>
      <c r="AP40" s="107"/>
    </row>
    <row r="41" spans="1:42">
      <c r="A41" s="106" cm="1">
        <f t="array" ref="A41:AN41">IF(A40&lt;EDATE(DATE3,-24),INDEX(INDICES,MATCH(EDATE(A40,1),'INDICES PRIX'!A:A,0),),"")</f>
        <v>45352</v>
      </c>
      <c r="B41">
        <v>124.5</v>
      </c>
      <c r="C41">
        <v>132.9</v>
      </c>
      <c r="D41">
        <v>131.69999999999999</v>
      </c>
      <c r="E41">
        <v>149.80000000000001</v>
      </c>
      <c r="F41">
        <v>109.98</v>
      </c>
      <c r="G41">
        <v>117.4</v>
      </c>
      <c r="H41">
        <v>124</v>
      </c>
      <c r="I41">
        <v>185.9</v>
      </c>
      <c r="J41">
        <v>63.2</v>
      </c>
      <c r="K41">
        <v>155.41906657668858</v>
      </c>
      <c r="L41">
        <v>105.2</v>
      </c>
      <c r="M41">
        <v>106.9</v>
      </c>
      <c r="N41">
        <v>129.4</v>
      </c>
      <c r="O41">
        <v>90.7</v>
      </c>
      <c r="P41">
        <v>117.7</v>
      </c>
      <c r="Q41">
        <v>105.6</v>
      </c>
      <c r="R41">
        <v>144</v>
      </c>
      <c r="S41">
        <v>107.8</v>
      </c>
      <c r="T41">
        <v>95.1</v>
      </c>
      <c r="U41">
        <v>120.2</v>
      </c>
      <c r="V41">
        <v>129.19999999999999</v>
      </c>
      <c r="W41">
        <v>116.7</v>
      </c>
      <c r="X41">
        <v>126.9</v>
      </c>
      <c r="Y41">
        <v>138.4</v>
      </c>
      <c r="Z41">
        <v>130.4</v>
      </c>
      <c r="AA41">
        <v>113.1</v>
      </c>
      <c r="AB41">
        <v>96.2</v>
      </c>
      <c r="AC41">
        <v>124.8</v>
      </c>
      <c r="AD41">
        <v>122.2</v>
      </c>
      <c r="AE41">
        <v>119</v>
      </c>
      <c r="AF41">
        <v>117.1</v>
      </c>
      <c r="AG41">
        <v>119.6</v>
      </c>
      <c r="AH41">
        <v>108.3</v>
      </c>
      <c r="AI41">
        <v>99.9</v>
      </c>
      <c r="AJ41">
        <v>137.30000000000001</v>
      </c>
      <c r="AK41">
        <v>97.7</v>
      </c>
      <c r="AL41">
        <v>89.2</v>
      </c>
      <c r="AM41">
        <v>115.6</v>
      </c>
      <c r="AN41">
        <v>109.9</v>
      </c>
      <c r="AP41" s="107"/>
    </row>
    <row r="42" spans="1:42">
      <c r="A42" s="106" cm="1">
        <f t="array" ref="A42:AN42">IF(A41&lt;EDATE(DATE3,-24),INDEX(INDICES,MATCH(EDATE(A41,1),'INDICES PRIX'!A:A,0),),"")</f>
        <v>45383</v>
      </c>
      <c r="B42">
        <v>125</v>
      </c>
      <c r="C42">
        <v>133.30000000000001</v>
      </c>
      <c r="D42">
        <v>132</v>
      </c>
      <c r="E42">
        <v>147.9</v>
      </c>
      <c r="F42">
        <v>109.42</v>
      </c>
      <c r="G42">
        <v>118.2</v>
      </c>
      <c r="H42">
        <v>123.4</v>
      </c>
      <c r="I42">
        <v>165.3</v>
      </c>
      <c r="J42">
        <v>66.7</v>
      </c>
      <c r="K42">
        <v>154.33767464544894</v>
      </c>
      <c r="L42">
        <v>103.9</v>
      </c>
      <c r="M42">
        <v>107.7</v>
      </c>
      <c r="N42">
        <v>129.69999999999999</v>
      </c>
      <c r="O42">
        <v>89.2</v>
      </c>
      <c r="P42">
        <v>118.6</v>
      </c>
      <c r="Q42">
        <v>106.8</v>
      </c>
      <c r="R42">
        <v>143.9</v>
      </c>
      <c r="S42">
        <v>109.9</v>
      </c>
      <c r="T42">
        <v>91.9</v>
      </c>
      <c r="U42">
        <v>126.2</v>
      </c>
      <c r="V42">
        <v>128.1</v>
      </c>
      <c r="W42">
        <v>115.9</v>
      </c>
      <c r="X42">
        <v>127.6</v>
      </c>
      <c r="Y42">
        <v>137.30000000000001</v>
      </c>
      <c r="Z42">
        <v>130</v>
      </c>
      <c r="AA42">
        <v>113</v>
      </c>
      <c r="AB42">
        <v>98.8</v>
      </c>
      <c r="AC42">
        <v>122.3</v>
      </c>
      <c r="AD42">
        <v>121.5</v>
      </c>
      <c r="AE42">
        <v>122.9</v>
      </c>
      <c r="AF42">
        <v>114</v>
      </c>
      <c r="AG42">
        <v>115.6</v>
      </c>
      <c r="AH42">
        <v>105.7</v>
      </c>
      <c r="AI42">
        <v>100</v>
      </c>
      <c r="AJ42">
        <v>137.19999999999999</v>
      </c>
      <c r="AK42">
        <v>97</v>
      </c>
      <c r="AL42">
        <v>90</v>
      </c>
      <c r="AM42">
        <v>115.6</v>
      </c>
      <c r="AN42">
        <v>109.7</v>
      </c>
      <c r="AP42" s="107"/>
    </row>
    <row r="43" spans="1:42">
      <c r="A43" s="106" cm="1">
        <f t="array" ref="A43:AN43">IF(A42&lt;EDATE(DATE3,-24),INDEX(INDICES,MATCH(EDATE(A42,1),'INDICES PRIX'!A:A,0),),"")</f>
        <v>45413</v>
      </c>
      <c r="B43">
        <v>124.9</v>
      </c>
      <c r="C43">
        <v>133.69999999999999</v>
      </c>
      <c r="D43">
        <v>132.30000000000001</v>
      </c>
      <c r="E43">
        <v>141.19999999999999</v>
      </c>
      <c r="F43">
        <v>105.67</v>
      </c>
      <c r="G43">
        <v>118.3</v>
      </c>
      <c r="H43">
        <v>123.4</v>
      </c>
      <c r="I43">
        <v>125.8</v>
      </c>
      <c r="J43">
        <v>72.3</v>
      </c>
      <c r="K43">
        <v>144.88879104953529</v>
      </c>
      <c r="L43">
        <v>104.1</v>
      </c>
      <c r="M43">
        <v>107.7</v>
      </c>
      <c r="N43">
        <v>129</v>
      </c>
      <c r="O43">
        <v>89</v>
      </c>
      <c r="P43">
        <v>115.2</v>
      </c>
      <c r="Q43">
        <v>107.7</v>
      </c>
      <c r="R43">
        <v>143.6</v>
      </c>
      <c r="S43">
        <v>107.8</v>
      </c>
      <c r="T43">
        <v>92.7</v>
      </c>
      <c r="U43">
        <v>132.80000000000001</v>
      </c>
      <c r="V43">
        <v>130.80000000000001</v>
      </c>
      <c r="W43">
        <v>114.8</v>
      </c>
      <c r="X43">
        <v>128.80000000000001</v>
      </c>
      <c r="Y43">
        <v>139.6</v>
      </c>
      <c r="Z43">
        <v>129.80000000000001</v>
      </c>
      <c r="AA43">
        <v>113.5</v>
      </c>
      <c r="AB43">
        <v>98</v>
      </c>
      <c r="AC43">
        <v>124.8</v>
      </c>
      <c r="AD43">
        <v>122</v>
      </c>
      <c r="AE43">
        <v>124.7</v>
      </c>
      <c r="AF43">
        <v>117.5</v>
      </c>
      <c r="AG43">
        <v>120.7</v>
      </c>
      <c r="AH43">
        <v>107.4</v>
      </c>
      <c r="AI43">
        <v>98.4</v>
      </c>
      <c r="AJ43">
        <v>137.19999999999999</v>
      </c>
      <c r="AK43">
        <v>97</v>
      </c>
      <c r="AL43">
        <v>90</v>
      </c>
      <c r="AM43">
        <v>115.9</v>
      </c>
      <c r="AN43">
        <v>112</v>
      </c>
      <c r="AP43" s="107"/>
    </row>
    <row r="44" spans="1:42">
      <c r="A44" s="106" t="str" cm="1">
        <f t="array" ref="A44">IF(A43&lt;EDATE(DATE3,-24),INDEX(INDICES,MATCH(EDATE(A43,1),'INDICES PRIX'!A:A,0),),"")</f>
        <v/>
      </c>
      <c r="AP44" s="107"/>
    </row>
    <row r="45" spans="1:42">
      <c r="A45" s="106" t="str" cm="1">
        <f t="array" ref="A45">IF(A44&lt;EDATE(DATE3,-24),INDEX(INDICES,MATCH(EDATE(A44,1),'INDICES PRIX'!A:A,0),),"")</f>
        <v/>
      </c>
      <c r="AP45" s="107"/>
    </row>
    <row r="46" spans="1:42">
      <c r="A46" s="106" t="str" cm="1">
        <f t="array" ref="A46">IF(A45&lt;EDATE(DATE3,-24),INDEX(INDICES,MATCH(EDATE(A45,1),'INDICES PRIX'!A:A,0),),"")</f>
        <v/>
      </c>
      <c r="AP46" s="107"/>
    </row>
    <row r="47" spans="1:42">
      <c r="A47" s="106" t="str" cm="1">
        <f t="array" ref="A47">IF(A46&lt;EDATE(DATE3,-24),INDEX(INDICES,MATCH(EDATE(A46,1),'INDICES PRIX'!A:A,0),),"")</f>
        <v/>
      </c>
      <c r="AP47" s="107"/>
    </row>
    <row r="48" spans="1:42">
      <c r="A48" s="106" t="str" cm="1">
        <f t="array" ref="A48">IF(A47&lt;EDATE(DATE3,-24),INDEX(INDICES,MATCH(EDATE(A47,1),'INDICES PRIX'!A:A,0),),"")</f>
        <v/>
      </c>
      <c r="AP48" s="107"/>
    </row>
    <row r="49" spans="1:42">
      <c r="A49" s="106" t="str" cm="1">
        <f t="array" ref="A49">IF(A48&lt;EDATE(DATE3,-24),INDEX(INDICES,MATCH(EDATE(A48,1),'INDICES PRIX'!A:A,0),),"")</f>
        <v/>
      </c>
      <c r="AP49" s="107"/>
    </row>
    <row r="50" spans="1:42">
      <c r="A50" s="106" t="str" cm="1">
        <f t="array" ref="A50">IF(A49&lt;EDATE(DATE3,-24),INDEX(INDICES,MATCH(EDATE(A49,1),'INDICES PRIX'!A:A,0),),"")</f>
        <v/>
      </c>
      <c r="AP50" s="107"/>
    </row>
    <row r="51" spans="1:42">
      <c r="A51" s="108" t="str" cm="1">
        <f t="array" ref="A51">IF(A50&lt;EDATE(DATE3,-24),INDEX(INDICES,MATCH(EDATE(A50,1),'INDICES PRIX'!A:A,0),),"")</f>
        <v/>
      </c>
      <c r="B51" s="109"/>
      <c r="C51" s="109"/>
      <c r="D51" s="109"/>
      <c r="E51" s="109"/>
      <c r="F51" s="109"/>
      <c r="G51" s="109"/>
      <c r="H51" s="109"/>
      <c r="I51" s="109"/>
      <c r="J51" s="109"/>
      <c r="K51" s="109"/>
      <c r="L51" s="109"/>
      <c r="M51" s="109"/>
      <c r="N51" s="109"/>
      <c r="O51" s="109"/>
      <c r="P51" s="109"/>
      <c r="Q51" s="109"/>
      <c r="R51" s="109"/>
      <c r="S51" s="109"/>
      <c r="T51" s="109"/>
      <c r="U51" s="109"/>
      <c r="V51" s="109"/>
      <c r="W51" s="109"/>
      <c r="X51" s="109"/>
      <c r="Y51" s="109"/>
      <c r="Z51" s="109"/>
      <c r="AA51" s="109"/>
      <c r="AB51" s="109"/>
      <c r="AC51" s="109"/>
      <c r="AD51" s="109"/>
      <c r="AE51" s="109"/>
      <c r="AF51" s="109"/>
      <c r="AG51" s="109"/>
      <c r="AH51" s="109"/>
      <c r="AI51" s="109"/>
      <c r="AJ51" s="109"/>
      <c r="AK51" s="109"/>
      <c r="AL51" s="109"/>
      <c r="AM51" s="109"/>
      <c r="AN51" s="109"/>
      <c r="AO51" s="109"/>
      <c r="AP51" s="110"/>
    </row>
    <row r="52" spans="1:42">
      <c r="A52" s="95" t="s">
        <v>198</v>
      </c>
      <c r="B52">
        <f>SUM(B39:B51)</f>
        <v>622.5</v>
      </c>
      <c r="C52">
        <f t="shared" ref="C52:AP52" si="2">SUM(C39:C51)</f>
        <v>665.10000000000014</v>
      </c>
      <c r="D52">
        <f t="shared" si="2"/>
        <v>658.59999999999991</v>
      </c>
      <c r="E52">
        <f t="shared" si="2"/>
        <v>738.10000000000014</v>
      </c>
      <c r="F52">
        <f t="shared" si="2"/>
        <v>543.32000000000005</v>
      </c>
      <c r="G52">
        <f t="shared" si="2"/>
        <v>588.5</v>
      </c>
      <c r="H52">
        <f t="shared" si="2"/>
        <v>618.79999999999995</v>
      </c>
      <c r="I52">
        <f t="shared" si="2"/>
        <v>879.3</v>
      </c>
      <c r="J52">
        <f t="shared" si="2"/>
        <v>353.4</v>
      </c>
      <c r="K52">
        <f t="shared" si="2"/>
        <v>762.38131152395249</v>
      </c>
      <c r="L52">
        <f t="shared" si="2"/>
        <v>530.9</v>
      </c>
      <c r="M52">
        <f t="shared" si="2"/>
        <v>536.1</v>
      </c>
      <c r="N52">
        <f t="shared" si="2"/>
        <v>647.70000000000005</v>
      </c>
      <c r="O52">
        <f t="shared" si="2"/>
        <v>450.4</v>
      </c>
      <c r="P52">
        <f t="shared" si="2"/>
        <v>586.90000000000009</v>
      </c>
      <c r="Q52">
        <f t="shared" si="2"/>
        <v>534.4</v>
      </c>
      <c r="R52">
        <f t="shared" si="2"/>
        <v>721.4</v>
      </c>
      <c r="S52">
        <f t="shared" si="2"/>
        <v>543.29999999999995</v>
      </c>
      <c r="T52">
        <f t="shared" si="2"/>
        <v>468.3</v>
      </c>
      <c r="U52">
        <f t="shared" si="2"/>
        <v>604</v>
      </c>
      <c r="V52">
        <f t="shared" si="2"/>
        <v>642</v>
      </c>
      <c r="W52">
        <f t="shared" si="2"/>
        <v>579.19999999999993</v>
      </c>
      <c r="X52">
        <f t="shared" si="2"/>
        <v>640.59999999999991</v>
      </c>
      <c r="Y52">
        <f t="shared" si="2"/>
        <v>692.30000000000007</v>
      </c>
      <c r="Z52">
        <f t="shared" si="2"/>
        <v>645.20000000000005</v>
      </c>
      <c r="AA52">
        <f t="shared" si="2"/>
        <v>564.9</v>
      </c>
      <c r="AB52">
        <f t="shared" si="2"/>
        <v>478.8</v>
      </c>
      <c r="AC52">
        <f t="shared" si="2"/>
        <v>624.5</v>
      </c>
      <c r="AD52">
        <f t="shared" si="2"/>
        <v>611.1</v>
      </c>
      <c r="AE52">
        <f t="shared" si="2"/>
        <v>601.5</v>
      </c>
      <c r="AF52">
        <f t="shared" si="2"/>
        <v>583.20000000000005</v>
      </c>
      <c r="AG52">
        <f t="shared" si="2"/>
        <v>594.80000000000007</v>
      </c>
      <c r="AH52">
        <f t="shared" si="2"/>
        <v>536.5</v>
      </c>
      <c r="AI52">
        <f t="shared" si="2"/>
        <v>498.9</v>
      </c>
      <c r="AJ52">
        <f t="shared" si="2"/>
        <v>689.40000000000009</v>
      </c>
      <c r="AK52">
        <f t="shared" si="2"/>
        <v>488.4</v>
      </c>
      <c r="AL52">
        <f t="shared" si="2"/>
        <v>445.9</v>
      </c>
      <c r="AM52">
        <f t="shared" si="2"/>
        <v>578.20000000000005</v>
      </c>
      <c r="AN52">
        <f t="shared" si="2"/>
        <v>546.79999999999995</v>
      </c>
      <c r="AO52">
        <f t="shared" si="2"/>
        <v>0</v>
      </c>
      <c r="AP52">
        <f t="shared" si="2"/>
        <v>0</v>
      </c>
    </row>
    <row r="54" spans="1:42" ht="18.75">
      <c r="B54" s="235" t="s">
        <v>243</v>
      </c>
      <c r="C54" s="235"/>
      <c r="D54" s="235"/>
      <c r="E54" s="235"/>
    </row>
    <row r="55" spans="1:42">
      <c r="B55" s="242" t="str">
        <f>"CUMULS EN N ("&amp;TEXT(DATE4,"aaaa")&amp;")"</f>
        <v>CUMULS EN N (2026)</v>
      </c>
      <c r="C55" s="242"/>
      <c r="D55" s="242"/>
    </row>
    <row r="56" spans="1:42">
      <c r="A56" s="104" cm="1">
        <f t="array" ref="A56:AN56">IF(DATE(YEAR(DATE3),1,1)&lt;=DATE4,INDEX(INDICES,MATCH(DATE(YEAR(DATE4),1,1),'INDICES PRIX'!A:A,0),),"")</f>
        <v>46023</v>
      </c>
      <c r="B56" s="43">
        <v>127.6</v>
      </c>
      <c r="C56" s="43">
        <v>142.19999999999999</v>
      </c>
      <c r="D56" s="43">
        <v>137.6</v>
      </c>
      <c r="E56" s="43">
        <v>159</v>
      </c>
      <c r="F56" s="43">
        <v>100.91</v>
      </c>
      <c r="G56" s="43">
        <v>118</v>
      </c>
      <c r="H56" s="43">
        <v>125.7</v>
      </c>
      <c r="I56" s="43">
        <v>155.80000000000001</v>
      </c>
      <c r="J56" s="43">
        <v>71.400000000000006</v>
      </c>
      <c r="K56" s="43">
        <v>133.73804474216251</v>
      </c>
      <c r="L56" s="43">
        <v>100.1</v>
      </c>
      <c r="M56" s="43">
        <v>114.3</v>
      </c>
      <c r="N56" s="43">
        <v>133.4</v>
      </c>
      <c r="O56" s="43">
        <v>85.4</v>
      </c>
      <c r="P56" s="43">
        <v>116.5</v>
      </c>
      <c r="Q56" s="43">
        <v>104.2</v>
      </c>
      <c r="R56" s="43">
        <v>150.1</v>
      </c>
      <c r="S56" s="43">
        <v>112.4</v>
      </c>
      <c r="T56" s="43">
        <v>90.2</v>
      </c>
      <c r="U56" s="43">
        <v>96</v>
      </c>
      <c r="V56" s="43">
        <v>126.8</v>
      </c>
      <c r="W56" s="43">
        <v>115.1</v>
      </c>
      <c r="X56" s="43">
        <v>127.5</v>
      </c>
      <c r="Y56" s="43">
        <v>139.6</v>
      </c>
      <c r="Z56" s="43">
        <v>130.4</v>
      </c>
      <c r="AA56" s="43">
        <v>118.1</v>
      </c>
      <c r="AB56" s="43">
        <v>83.8</v>
      </c>
      <c r="AC56" s="43">
        <v>124</v>
      </c>
      <c r="AD56" s="43">
        <v>118.8</v>
      </c>
      <c r="AE56" s="43">
        <v>134.4</v>
      </c>
      <c r="AF56" s="43">
        <v>128.80000000000001</v>
      </c>
      <c r="AG56" s="43">
        <v>135</v>
      </c>
      <c r="AH56" s="43">
        <v>104.9</v>
      </c>
      <c r="AI56" s="43">
        <v>82.1</v>
      </c>
      <c r="AJ56" s="43">
        <v>130.9</v>
      </c>
      <c r="AK56" s="43">
        <v>93</v>
      </c>
      <c r="AL56" s="43">
        <v>81.900000000000006</v>
      </c>
      <c r="AM56" s="43">
        <v>118.3</v>
      </c>
      <c r="AN56" s="43">
        <v>110.2</v>
      </c>
      <c r="AO56" s="43"/>
      <c r="AP56" s="7"/>
    </row>
    <row r="57" spans="1:42">
      <c r="A57" s="106" cm="1">
        <f t="array" ref="A57:AN57">IF(A56&lt;DATE4,INDEX(INDICES,MATCH(EDATE(A56,1),'INDICES PRIX'!A:A,0),),"")</f>
        <v>46054</v>
      </c>
      <c r="B57">
        <v>125.9</v>
      </c>
      <c r="C57">
        <v>142.6</v>
      </c>
      <c r="D57">
        <v>137.9</v>
      </c>
      <c r="E57">
        <v>162.4</v>
      </c>
      <c r="F57">
        <v>103.42</v>
      </c>
      <c r="G57">
        <v>119.2</v>
      </c>
      <c r="H57">
        <v>125.7</v>
      </c>
      <c r="I57">
        <v>147.1</v>
      </c>
      <c r="J57">
        <v>80.7</v>
      </c>
      <c r="K57">
        <v>139.37546497387086</v>
      </c>
      <c r="L57">
        <v>101.1</v>
      </c>
      <c r="M57">
        <v>114.4</v>
      </c>
      <c r="N57">
        <v>133.4</v>
      </c>
      <c r="O57">
        <v>85.9</v>
      </c>
      <c r="P57">
        <v>118.3</v>
      </c>
      <c r="Q57">
        <v>103.4</v>
      </c>
      <c r="R57">
        <v>148.9</v>
      </c>
      <c r="S57">
        <v>112</v>
      </c>
      <c r="T57">
        <v>91.3</v>
      </c>
      <c r="U57">
        <v>97.3</v>
      </c>
      <c r="V57">
        <v>128.4</v>
      </c>
      <c r="W57">
        <v>114.3</v>
      </c>
      <c r="X57">
        <v>128.9</v>
      </c>
      <c r="Y57">
        <v>141.69999999999999</v>
      </c>
      <c r="Z57">
        <v>130.9</v>
      </c>
      <c r="AA57">
        <v>118.1</v>
      </c>
      <c r="AB57">
        <v>84.3</v>
      </c>
      <c r="AC57">
        <v>124.7</v>
      </c>
      <c r="AD57">
        <v>119.2</v>
      </c>
      <c r="AE57">
        <v>137.9</v>
      </c>
      <c r="AF57">
        <v>128.69999999999999</v>
      </c>
      <c r="AG57">
        <v>136.80000000000001</v>
      </c>
      <c r="AH57">
        <v>106.6</v>
      </c>
      <c r="AI57">
        <v>82.1</v>
      </c>
      <c r="AJ57">
        <v>130.30000000000001</v>
      </c>
      <c r="AK57">
        <v>94.8</v>
      </c>
      <c r="AL57">
        <v>83.7</v>
      </c>
      <c r="AM57">
        <v>119.3</v>
      </c>
      <c r="AN57">
        <v>111.9</v>
      </c>
      <c r="AP57" s="107"/>
    </row>
    <row r="58" spans="1:42">
      <c r="A58" s="106" cm="1">
        <f t="array" ref="A58:AN58">IF(A57&lt;DATE4,INDEX(INDICES,MATCH(EDATE(A57,1),'INDICES PRIX'!A:A,0),),"")</f>
        <v>46082</v>
      </c>
      <c r="B58">
        <v>126.5</v>
      </c>
      <c r="C58">
        <v>143</v>
      </c>
      <c r="D58">
        <v>138.19999999999999</v>
      </c>
      <c r="E58">
        <v>224.3</v>
      </c>
      <c r="F58">
        <v>126.08</v>
      </c>
      <c r="G58">
        <v>119.2</v>
      </c>
      <c r="H58">
        <v>125.7</v>
      </c>
      <c r="I58">
        <v>140.30000000000001</v>
      </c>
      <c r="J58">
        <v>93.9</v>
      </c>
      <c r="K58">
        <v>197.64653510476802</v>
      </c>
      <c r="L58">
        <v>102</v>
      </c>
      <c r="M58">
        <v>114.4</v>
      </c>
      <c r="N58">
        <v>133.69999999999999</v>
      </c>
      <c r="O58">
        <v>87.6</v>
      </c>
      <c r="P58">
        <v>118.5</v>
      </c>
      <c r="Q58">
        <v>104.6</v>
      </c>
      <c r="R58">
        <v>148.9</v>
      </c>
      <c r="S58">
        <v>112</v>
      </c>
      <c r="T58">
        <v>91.3</v>
      </c>
      <c r="U58">
        <v>109</v>
      </c>
      <c r="V58">
        <v>122.7</v>
      </c>
      <c r="W58">
        <v>115.4</v>
      </c>
      <c r="X58">
        <v>131.30000000000001</v>
      </c>
      <c r="Y58">
        <v>140.4</v>
      </c>
      <c r="Z58">
        <v>130.9</v>
      </c>
      <c r="AA58">
        <v>118.4</v>
      </c>
      <c r="AB58">
        <v>90.2</v>
      </c>
      <c r="AC58">
        <v>127</v>
      </c>
      <c r="AD58">
        <v>117.8</v>
      </c>
      <c r="AE58">
        <v>137.9</v>
      </c>
      <c r="AF58">
        <v>127</v>
      </c>
      <c r="AG58">
        <v>133.5</v>
      </c>
      <c r="AH58">
        <v>107.1</v>
      </c>
      <c r="AI58">
        <v>82.9</v>
      </c>
      <c r="AJ58">
        <v>126.5</v>
      </c>
      <c r="AK58">
        <v>95.9</v>
      </c>
      <c r="AL58">
        <v>84.8</v>
      </c>
      <c r="AM58">
        <v>118.4</v>
      </c>
      <c r="AN58">
        <v>113.1</v>
      </c>
      <c r="AP58" s="107"/>
    </row>
    <row r="59" spans="1:42">
      <c r="A59" s="106" cm="1">
        <f t="array" ref="A59:AN59">IF(A58&lt;DATE4,INDEX(INDICES,MATCH(EDATE(A58,1),'INDICES PRIX'!A:A,0),),"")</f>
        <v>46113</v>
      </c>
      <c r="B59">
        <v>128.1</v>
      </c>
      <c r="C59">
        <v>143</v>
      </c>
      <c r="D59">
        <v>138.19999999999999</v>
      </c>
      <c r="E59">
        <v>230.3</v>
      </c>
      <c r="F59">
        <v>138.74</v>
      </c>
      <c r="G59">
        <v>121.4</v>
      </c>
      <c r="H59">
        <v>129.19999999999999</v>
      </c>
      <c r="I59">
        <v>124.4</v>
      </c>
      <c r="J59">
        <v>122.2</v>
      </c>
      <c r="K59">
        <v>223.06810935718863</v>
      </c>
      <c r="L59">
        <v>108</v>
      </c>
      <c r="M59">
        <v>114.6</v>
      </c>
      <c r="N59">
        <v>137.5</v>
      </c>
      <c r="O59">
        <v>91.3</v>
      </c>
      <c r="P59">
        <v>121</v>
      </c>
      <c r="Q59">
        <v>111.3</v>
      </c>
      <c r="R59">
        <v>149.1</v>
      </c>
      <c r="S59">
        <v>114.8</v>
      </c>
      <c r="T59">
        <v>91.3</v>
      </c>
      <c r="U59">
        <v>149.80000000000001</v>
      </c>
      <c r="V59">
        <v>123.7</v>
      </c>
      <c r="W59">
        <v>117.1</v>
      </c>
      <c r="X59">
        <v>130.5</v>
      </c>
      <c r="Y59">
        <v>140</v>
      </c>
      <c r="Z59">
        <v>130.9</v>
      </c>
      <c r="AA59">
        <v>118.7</v>
      </c>
      <c r="AB59">
        <v>119.6</v>
      </c>
      <c r="AC59">
        <v>124</v>
      </c>
      <c r="AD59">
        <v>118.2</v>
      </c>
      <c r="AE59">
        <v>137.9</v>
      </c>
      <c r="AF59">
        <v>133.4</v>
      </c>
      <c r="AG59">
        <v>144.80000000000001</v>
      </c>
      <c r="AH59">
        <v>107.2</v>
      </c>
      <c r="AI59">
        <v>83.5</v>
      </c>
      <c r="AJ59">
        <v>127.4</v>
      </c>
      <c r="AK59">
        <v>99.9</v>
      </c>
      <c r="AL59">
        <v>87.3</v>
      </c>
      <c r="AM59">
        <v>119</v>
      </c>
      <c r="AN59">
        <v>115.1</v>
      </c>
      <c r="AP59" s="107"/>
    </row>
    <row r="60" spans="1:42">
      <c r="A60" s="106" cm="1">
        <f t="array" ref="A60:AN60">IF(A59&lt;DATE4,INDEX(INDICES,MATCH(EDATE(A59,1),'INDICES PRIX'!A:A,0),),"")</f>
        <v>46143</v>
      </c>
      <c r="B60">
        <v>127.8</v>
      </c>
      <c r="C60">
        <v>143</v>
      </c>
      <c r="D60">
        <v>138.19999999999999</v>
      </c>
      <c r="E60">
        <v>212.8</v>
      </c>
      <c r="F60">
        <v>131.69999999999999</v>
      </c>
      <c r="G60">
        <v>120.7</v>
      </c>
      <c r="H60">
        <v>129.19999999999999</v>
      </c>
      <c r="I60">
        <v>109.7</v>
      </c>
      <c r="J60">
        <v>109.8</v>
      </c>
      <c r="K60">
        <v>205.64174430131035</v>
      </c>
      <c r="L60">
        <v>119.5</v>
      </c>
      <c r="M60">
        <v>114.6</v>
      </c>
      <c r="N60">
        <v>136.5</v>
      </c>
      <c r="O60">
        <v>95.4</v>
      </c>
      <c r="P60">
        <v>120</v>
      </c>
      <c r="Q60">
        <v>120.4</v>
      </c>
      <c r="R60">
        <v>151.4</v>
      </c>
      <c r="S60">
        <v>118.6</v>
      </c>
      <c r="T60">
        <v>91.3</v>
      </c>
      <c r="U60">
        <v>149.4</v>
      </c>
      <c r="V60">
        <v>123</v>
      </c>
      <c r="W60">
        <v>117.5</v>
      </c>
      <c r="X60">
        <v>131.69999999999999</v>
      </c>
      <c r="Y60">
        <v>141.69999999999999</v>
      </c>
      <c r="Z60">
        <v>130.9</v>
      </c>
      <c r="AA60">
        <v>119.2</v>
      </c>
      <c r="AB60">
        <v>121.9</v>
      </c>
      <c r="AC60">
        <v>125.8</v>
      </c>
      <c r="AD60">
        <v>118.4</v>
      </c>
      <c r="AE60">
        <v>137.9</v>
      </c>
      <c r="AF60">
        <v>133.6</v>
      </c>
      <c r="AG60">
        <v>144.80000000000001</v>
      </c>
      <c r="AH60">
        <v>106.8</v>
      </c>
      <c r="AI60">
        <v>84</v>
      </c>
      <c r="AJ60">
        <v>129.4</v>
      </c>
      <c r="AK60">
        <v>101.3</v>
      </c>
      <c r="AL60">
        <v>89.3</v>
      </c>
      <c r="AM60">
        <v>119.2</v>
      </c>
      <c r="AN60">
        <v>116.9</v>
      </c>
      <c r="AP60" s="107"/>
    </row>
    <row r="61" spans="1:42">
      <c r="A61" s="106" t="str" cm="1">
        <f t="array" ref="A61">IF(A60&lt;DATE4,INDEX(INDICES,MATCH(EDATE(A60,1),'INDICES PRIX'!A:A,0),),"")</f>
        <v/>
      </c>
      <c r="AP61" s="107"/>
    </row>
    <row r="62" spans="1:42">
      <c r="A62" s="106" t="str" cm="1">
        <f t="array" ref="A62">IF(A61&lt;DATE4,INDEX(INDICES,MATCH(EDATE(A61,1),'INDICES PRIX'!A:A,0),),"")</f>
        <v/>
      </c>
      <c r="AP62" s="107"/>
    </row>
    <row r="63" spans="1:42">
      <c r="A63" s="106" t="str" cm="1">
        <f t="array" ref="A63">IF(A62&lt;DATE4,INDEX(INDICES,MATCH(EDATE(A62,1),'INDICES PRIX'!A:A,0),),"")</f>
        <v/>
      </c>
      <c r="AP63" s="107"/>
    </row>
    <row r="64" spans="1:42">
      <c r="A64" s="106" t="str" cm="1">
        <f t="array" ref="A64">IF(A63&lt;DATE4,INDEX(INDICES,MATCH(EDATE(A63,1),'INDICES PRIX'!A:A,0),),"")</f>
        <v/>
      </c>
      <c r="AP64" s="107"/>
    </row>
    <row r="65" spans="1:42">
      <c r="A65" s="106" t="str" cm="1">
        <f t="array" ref="A65">IF(A64&lt;DATE4,INDEX(INDICES,MATCH(EDATE(A64,1),'INDICES PRIX'!A:A,0),),"")</f>
        <v/>
      </c>
      <c r="AP65" s="107"/>
    </row>
    <row r="66" spans="1:42">
      <c r="A66" s="106" t="str" cm="1">
        <f t="array" ref="A66">IF(A65&lt;DATE4,INDEX(INDICES,MATCH(EDATE(A65,1),'INDICES PRIX'!A:A,0),),"")</f>
        <v/>
      </c>
      <c r="AP66" s="107"/>
    </row>
    <row r="67" spans="1:42">
      <c r="A67" s="106" t="str" cm="1">
        <f t="array" ref="A67">IF(A66&lt;DATE4,INDEX(INDICES,MATCH(EDATE(A66,1),'INDICES PRIX'!A:A,0),),"")</f>
        <v/>
      </c>
      <c r="AP67" s="107"/>
    </row>
    <row r="68" spans="1:42">
      <c r="A68" s="108" t="str" cm="1">
        <f t="array" ref="A68">IF(A67&lt;DATE4,INDEX(INDICES,MATCH(EDATE(A67,1),'INDICES PRIX'!A:A,0),),"")</f>
        <v/>
      </c>
      <c r="B68" s="109"/>
      <c r="C68" s="109"/>
      <c r="D68" s="109"/>
      <c r="E68" s="109"/>
      <c r="F68" s="109"/>
      <c r="G68" s="109"/>
      <c r="H68" s="109"/>
      <c r="I68" s="109"/>
      <c r="J68" s="109"/>
      <c r="K68" s="109"/>
      <c r="L68" s="109"/>
      <c r="M68" s="109"/>
      <c r="N68" s="109"/>
      <c r="O68" s="109"/>
      <c r="P68" s="109"/>
      <c r="Q68" s="109"/>
      <c r="R68" s="109"/>
      <c r="S68" s="109"/>
      <c r="T68" s="109"/>
      <c r="U68" s="109"/>
      <c r="V68" s="109"/>
      <c r="W68" s="109"/>
      <c r="X68" s="109"/>
      <c r="Y68" s="109"/>
      <c r="Z68" s="109"/>
      <c r="AA68" s="109"/>
      <c r="AB68" s="109"/>
      <c r="AC68" s="109"/>
      <c r="AD68" s="109"/>
      <c r="AE68" s="109"/>
      <c r="AF68" s="109"/>
      <c r="AG68" s="109"/>
      <c r="AH68" s="109"/>
      <c r="AI68" s="109"/>
      <c r="AJ68" s="109"/>
      <c r="AK68" s="109"/>
      <c r="AL68" s="109"/>
      <c r="AM68" s="109"/>
      <c r="AN68" s="109"/>
      <c r="AO68" s="109"/>
      <c r="AP68" s="110"/>
    </row>
    <row r="69" spans="1:42">
      <c r="A69" s="95" t="s">
        <v>198</v>
      </c>
      <c r="B69">
        <f>SUM(B56:B68)</f>
        <v>635.9</v>
      </c>
      <c r="C69">
        <f t="shared" ref="C69:AP69" si="3">SUM(C56:C68)</f>
        <v>713.8</v>
      </c>
      <c r="D69">
        <f t="shared" si="3"/>
        <v>690.09999999999991</v>
      </c>
      <c r="E69">
        <f t="shared" si="3"/>
        <v>988.8</v>
      </c>
      <c r="F69">
        <f t="shared" si="3"/>
        <v>600.84999999999991</v>
      </c>
      <c r="G69">
        <f t="shared" si="3"/>
        <v>598.5</v>
      </c>
      <c r="H69">
        <f t="shared" si="3"/>
        <v>635.5</v>
      </c>
      <c r="I69">
        <f t="shared" si="3"/>
        <v>677.30000000000007</v>
      </c>
      <c r="J69">
        <f t="shared" si="3"/>
        <v>478.00000000000006</v>
      </c>
      <c r="K69">
        <f t="shared" si="3"/>
        <v>899.46989847930035</v>
      </c>
      <c r="L69">
        <f t="shared" si="3"/>
        <v>530.70000000000005</v>
      </c>
      <c r="M69">
        <f t="shared" si="3"/>
        <v>572.30000000000007</v>
      </c>
      <c r="N69">
        <f t="shared" si="3"/>
        <v>674.5</v>
      </c>
      <c r="O69">
        <f t="shared" si="3"/>
        <v>445.6</v>
      </c>
      <c r="P69">
        <f t="shared" si="3"/>
        <v>594.29999999999995</v>
      </c>
      <c r="Q69">
        <f t="shared" si="3"/>
        <v>543.90000000000009</v>
      </c>
      <c r="R69">
        <f t="shared" si="3"/>
        <v>748.4</v>
      </c>
      <c r="S69">
        <f t="shared" si="3"/>
        <v>569.79999999999995</v>
      </c>
      <c r="T69">
        <f t="shared" si="3"/>
        <v>455.40000000000003</v>
      </c>
      <c r="U69">
        <f t="shared" si="3"/>
        <v>601.5</v>
      </c>
      <c r="V69">
        <f t="shared" si="3"/>
        <v>624.59999999999991</v>
      </c>
      <c r="W69">
        <f t="shared" si="3"/>
        <v>579.4</v>
      </c>
      <c r="X69">
        <f t="shared" si="3"/>
        <v>649.90000000000009</v>
      </c>
      <c r="Y69">
        <f t="shared" si="3"/>
        <v>703.39999999999986</v>
      </c>
      <c r="Z69">
        <f t="shared" si="3"/>
        <v>654</v>
      </c>
      <c r="AA69">
        <f t="shared" si="3"/>
        <v>592.5</v>
      </c>
      <c r="AB69">
        <f t="shared" si="3"/>
        <v>499.79999999999995</v>
      </c>
      <c r="AC69">
        <f t="shared" si="3"/>
        <v>625.5</v>
      </c>
      <c r="AD69">
        <f t="shared" si="3"/>
        <v>592.4</v>
      </c>
      <c r="AE69">
        <f t="shared" si="3"/>
        <v>686</v>
      </c>
      <c r="AF69">
        <f t="shared" si="3"/>
        <v>651.5</v>
      </c>
      <c r="AG69">
        <f t="shared" si="3"/>
        <v>694.90000000000009</v>
      </c>
      <c r="AH69">
        <f t="shared" si="3"/>
        <v>532.6</v>
      </c>
      <c r="AI69">
        <f t="shared" si="3"/>
        <v>414.6</v>
      </c>
      <c r="AJ69">
        <f t="shared" si="3"/>
        <v>644.5</v>
      </c>
      <c r="AK69">
        <f t="shared" si="3"/>
        <v>484.90000000000003</v>
      </c>
      <c r="AL69">
        <f t="shared" si="3"/>
        <v>427.00000000000006</v>
      </c>
      <c r="AM69">
        <f t="shared" si="3"/>
        <v>594.20000000000005</v>
      </c>
      <c r="AN69">
        <f t="shared" si="3"/>
        <v>567.20000000000005</v>
      </c>
      <c r="AO69">
        <f t="shared" si="3"/>
        <v>0</v>
      </c>
      <c r="AP69">
        <f t="shared" si="3"/>
        <v>0</v>
      </c>
    </row>
    <row r="71" spans="1:42">
      <c r="B71" s="242" t="str">
        <f>"CUMULS EN N-1 ("&amp;TEXT(EDATE(DATE4,-12),"aaaa")&amp;")"</f>
        <v>CUMULS EN N-1 (2025)</v>
      </c>
      <c r="C71" s="242"/>
      <c r="D71" s="242"/>
    </row>
    <row r="72" spans="1:42">
      <c r="A72" s="104" cm="1">
        <f t="array" ref="A72:AN72">IF(DATE(YEAR(EDATE(DATE4,-12)),1,1)&lt;DATE4,INDEX(INDICES,MATCH(DATE(YEAR(EDATE(DATE4,-12)),1,1),'INDICES PRIX'!A:A,0),),"")</f>
        <v>45658</v>
      </c>
      <c r="B72" s="43">
        <v>124.3</v>
      </c>
      <c r="C72" s="43">
        <v>137.19999999999999</v>
      </c>
      <c r="D72" s="43">
        <v>134.6</v>
      </c>
      <c r="E72" s="43">
        <v>157.1</v>
      </c>
      <c r="F72" s="43">
        <v>104.75</v>
      </c>
      <c r="G72" s="43">
        <v>118</v>
      </c>
      <c r="H72" s="43">
        <v>123.5</v>
      </c>
      <c r="I72" s="43">
        <v>182.9</v>
      </c>
      <c r="J72" s="43">
        <v>115.1</v>
      </c>
      <c r="K72" s="43">
        <v>143.16999999999999</v>
      </c>
      <c r="L72" s="43">
        <v>102.1</v>
      </c>
      <c r="M72" s="43">
        <v>110.9</v>
      </c>
      <c r="N72" s="43">
        <v>131.19999999999999</v>
      </c>
      <c r="O72" s="43">
        <v>86.3</v>
      </c>
      <c r="P72" s="43">
        <v>116.8</v>
      </c>
      <c r="Q72" s="43">
        <v>107.1</v>
      </c>
      <c r="R72" s="43">
        <v>147.5</v>
      </c>
      <c r="S72" s="43">
        <v>118.1</v>
      </c>
      <c r="T72" s="43">
        <v>90.3</v>
      </c>
      <c r="U72" s="43">
        <v>124</v>
      </c>
      <c r="V72" s="43">
        <v>125.8</v>
      </c>
      <c r="W72" s="43">
        <v>115.4</v>
      </c>
      <c r="X72" s="43">
        <v>127.2</v>
      </c>
      <c r="Y72" s="43">
        <v>139.80000000000001</v>
      </c>
      <c r="Z72" s="43">
        <v>127.5</v>
      </c>
      <c r="AA72" s="43">
        <v>115.1</v>
      </c>
      <c r="AB72" s="43">
        <v>94.2</v>
      </c>
      <c r="AC72" s="43">
        <v>123.3</v>
      </c>
      <c r="AD72" s="43">
        <v>118.1</v>
      </c>
      <c r="AE72" s="43">
        <v>123.9</v>
      </c>
      <c r="AF72" s="43">
        <v>117.4</v>
      </c>
      <c r="AG72" s="43">
        <v>119.9</v>
      </c>
      <c r="AH72" s="43">
        <v>106.3</v>
      </c>
      <c r="AI72" s="43">
        <v>87.7</v>
      </c>
      <c r="AJ72" s="43">
        <v>134.4</v>
      </c>
      <c r="AK72" s="43">
        <v>92.7</v>
      </c>
      <c r="AL72" s="43">
        <v>80.400000000000006</v>
      </c>
      <c r="AM72" s="43">
        <v>118.1</v>
      </c>
      <c r="AN72" s="43">
        <v>109</v>
      </c>
      <c r="AO72" s="43"/>
      <c r="AP72" s="7"/>
    </row>
    <row r="73" spans="1:42">
      <c r="A73" s="106" cm="1">
        <f t="array" ref="A73:AN73">IF(A72&lt;EDATE(DATE4,-12),INDEX(INDICES,MATCH(EDATE(A72,1),'INDICES PRIX'!A:A,0),),"")</f>
        <v>45689</v>
      </c>
      <c r="B73">
        <v>124.8</v>
      </c>
      <c r="C73">
        <v>137.4</v>
      </c>
      <c r="D73">
        <v>134.9</v>
      </c>
      <c r="E73">
        <v>155.6</v>
      </c>
      <c r="F73">
        <v>104.6</v>
      </c>
      <c r="G73">
        <v>118.8</v>
      </c>
      <c r="H73">
        <v>123.5</v>
      </c>
      <c r="I73">
        <v>162.4</v>
      </c>
      <c r="J73">
        <v>113.8</v>
      </c>
      <c r="K73">
        <v>142.03</v>
      </c>
      <c r="L73">
        <v>101.2</v>
      </c>
      <c r="M73">
        <v>110.9</v>
      </c>
      <c r="N73">
        <v>130.19999999999999</v>
      </c>
      <c r="O73">
        <v>87.5</v>
      </c>
      <c r="P73">
        <v>116.7</v>
      </c>
      <c r="Q73">
        <v>107.2</v>
      </c>
      <c r="R73">
        <v>146.30000000000001</v>
      </c>
      <c r="S73">
        <v>118</v>
      </c>
      <c r="T73">
        <v>91.2</v>
      </c>
      <c r="U73">
        <v>129.19999999999999</v>
      </c>
      <c r="V73">
        <v>128.19999999999999</v>
      </c>
      <c r="W73">
        <v>116.3</v>
      </c>
      <c r="X73">
        <v>128.69999999999999</v>
      </c>
      <c r="Y73">
        <v>139.6</v>
      </c>
      <c r="Z73">
        <v>128.19999999999999</v>
      </c>
      <c r="AA73">
        <v>115</v>
      </c>
      <c r="AB73">
        <v>94.6</v>
      </c>
      <c r="AC73">
        <v>120.3</v>
      </c>
      <c r="AD73">
        <v>118.6</v>
      </c>
      <c r="AE73">
        <v>126.7</v>
      </c>
      <c r="AF73">
        <v>116.5</v>
      </c>
      <c r="AG73">
        <v>116.7</v>
      </c>
      <c r="AH73">
        <v>106.8</v>
      </c>
      <c r="AI73">
        <v>87.2</v>
      </c>
      <c r="AJ73">
        <v>135.4</v>
      </c>
      <c r="AK73">
        <v>94</v>
      </c>
      <c r="AL73">
        <v>80.7</v>
      </c>
      <c r="AM73">
        <v>118.3</v>
      </c>
      <c r="AN73">
        <v>109.6</v>
      </c>
      <c r="AP73" s="107"/>
    </row>
    <row r="74" spans="1:42">
      <c r="A74" s="106" cm="1">
        <f t="array" ref="A74:AN74">IF(A73&lt;EDATE(DATE4,-12),INDEX(INDICES,MATCH(EDATE(A73,1),'INDICES PRIX'!A:A,0),),"")</f>
        <v>45717</v>
      </c>
      <c r="B74">
        <v>124.5</v>
      </c>
      <c r="C74">
        <v>137.6</v>
      </c>
      <c r="D74">
        <v>135.19999999999999</v>
      </c>
      <c r="E74">
        <v>145.69999999999999</v>
      </c>
      <c r="F74">
        <v>101.29</v>
      </c>
      <c r="G74">
        <v>118.5</v>
      </c>
      <c r="H74">
        <v>123.5</v>
      </c>
      <c r="I74">
        <v>155.5</v>
      </c>
      <c r="J74">
        <v>114.6</v>
      </c>
      <c r="K74">
        <v>133.53</v>
      </c>
      <c r="L74">
        <v>101.2</v>
      </c>
      <c r="M74">
        <v>111</v>
      </c>
      <c r="N74">
        <v>130.1</v>
      </c>
      <c r="O74">
        <v>88.3</v>
      </c>
      <c r="P74">
        <v>116.3</v>
      </c>
      <c r="Q74">
        <v>106.9</v>
      </c>
      <c r="R74">
        <v>143.9</v>
      </c>
      <c r="S74">
        <v>113.5</v>
      </c>
      <c r="T74">
        <v>92.3</v>
      </c>
      <c r="U74">
        <v>128.9</v>
      </c>
      <c r="V74">
        <v>130.9</v>
      </c>
      <c r="W74">
        <v>113.9</v>
      </c>
      <c r="X74">
        <v>130.30000000000001</v>
      </c>
      <c r="Y74">
        <v>138.9</v>
      </c>
      <c r="Z74">
        <v>128.9</v>
      </c>
      <c r="AA74">
        <v>115</v>
      </c>
      <c r="AB74">
        <v>95</v>
      </c>
      <c r="AC74">
        <v>121.1</v>
      </c>
      <c r="AD74">
        <v>118.7</v>
      </c>
      <c r="AE74">
        <v>127.8</v>
      </c>
      <c r="AF74">
        <v>116.6</v>
      </c>
      <c r="AG74">
        <v>117.1</v>
      </c>
      <c r="AH74">
        <v>108.5</v>
      </c>
      <c r="AI74">
        <v>85.7</v>
      </c>
      <c r="AJ74">
        <v>136.1</v>
      </c>
      <c r="AK74">
        <v>94</v>
      </c>
      <c r="AL74">
        <v>82.2</v>
      </c>
      <c r="AM74">
        <v>118.4</v>
      </c>
      <c r="AN74">
        <v>110.9</v>
      </c>
      <c r="AP74" s="107"/>
    </row>
    <row r="75" spans="1:42">
      <c r="A75" s="106" cm="1">
        <f t="array" ref="A75:AN75">IF(A74&lt;EDATE(DATE4,-12),INDEX(INDICES,MATCH(EDATE(A74,1),'INDICES PRIX'!A:A,0),),"")</f>
        <v>45748</v>
      </c>
      <c r="B75">
        <v>126.2</v>
      </c>
      <c r="C75">
        <v>138</v>
      </c>
      <c r="D75">
        <v>135.4</v>
      </c>
      <c r="E75">
        <v>141</v>
      </c>
      <c r="F75">
        <v>97.24</v>
      </c>
      <c r="G75">
        <v>119.4</v>
      </c>
      <c r="H75">
        <v>125.5</v>
      </c>
      <c r="I75">
        <v>135.1</v>
      </c>
      <c r="J75">
        <v>93</v>
      </c>
      <c r="K75">
        <v>124.17</v>
      </c>
      <c r="L75">
        <v>100.9</v>
      </c>
      <c r="M75">
        <v>110.9</v>
      </c>
      <c r="N75">
        <v>131.5</v>
      </c>
      <c r="O75">
        <v>89.1</v>
      </c>
      <c r="P75">
        <v>116.9</v>
      </c>
      <c r="Q75">
        <v>107.4</v>
      </c>
      <c r="R75">
        <v>145.80000000000001</v>
      </c>
      <c r="S75">
        <v>114.6</v>
      </c>
      <c r="T75">
        <v>92.3</v>
      </c>
      <c r="U75">
        <v>124.6</v>
      </c>
      <c r="V75">
        <v>130.5</v>
      </c>
      <c r="W75">
        <v>114</v>
      </c>
      <c r="X75">
        <v>128.5</v>
      </c>
      <c r="Y75">
        <v>139.30000000000001</v>
      </c>
      <c r="Z75">
        <v>129.1</v>
      </c>
      <c r="AA75">
        <v>116.2</v>
      </c>
      <c r="AB75">
        <v>93.8</v>
      </c>
      <c r="AC75">
        <v>120.7</v>
      </c>
      <c r="AD75">
        <v>118.5</v>
      </c>
      <c r="AE75">
        <v>129.1</v>
      </c>
      <c r="AF75">
        <v>116.9</v>
      </c>
      <c r="AG75">
        <v>117</v>
      </c>
      <c r="AH75">
        <v>106.3</v>
      </c>
      <c r="AI75">
        <v>84.7</v>
      </c>
      <c r="AJ75">
        <v>135.1</v>
      </c>
      <c r="AK75">
        <v>95.1</v>
      </c>
      <c r="AL75">
        <v>82.2</v>
      </c>
      <c r="AM75">
        <v>118.1</v>
      </c>
      <c r="AN75">
        <v>111</v>
      </c>
      <c r="AP75" s="107"/>
    </row>
    <row r="76" spans="1:42">
      <c r="A76" s="106" cm="1">
        <f t="array" ref="A76:AN76">IF(A75&lt;EDATE(DATE4,-12),INDEX(INDICES,MATCH(EDATE(A75,1),'INDICES PRIX'!A:A,0),),"")</f>
        <v>45778</v>
      </c>
      <c r="B76">
        <v>126.4</v>
      </c>
      <c r="C76">
        <v>138.4</v>
      </c>
      <c r="D76">
        <v>135.6</v>
      </c>
      <c r="E76">
        <v>140</v>
      </c>
      <c r="F76">
        <v>95.45</v>
      </c>
      <c r="G76">
        <v>118.1</v>
      </c>
      <c r="H76">
        <v>125.5</v>
      </c>
      <c r="I76">
        <v>113.3</v>
      </c>
      <c r="J76">
        <v>84.1</v>
      </c>
      <c r="K76">
        <v>120.39</v>
      </c>
      <c r="L76">
        <v>101.6</v>
      </c>
      <c r="M76">
        <v>113.3</v>
      </c>
      <c r="N76">
        <v>131.69999999999999</v>
      </c>
      <c r="O76">
        <v>89.6</v>
      </c>
      <c r="P76">
        <v>116.2</v>
      </c>
      <c r="Q76">
        <v>108.2</v>
      </c>
      <c r="R76">
        <v>145.6</v>
      </c>
      <c r="S76">
        <v>111.1</v>
      </c>
      <c r="T76">
        <v>93.2</v>
      </c>
      <c r="U76">
        <v>116.6</v>
      </c>
      <c r="V76">
        <v>129.80000000000001</v>
      </c>
      <c r="W76">
        <v>114.7</v>
      </c>
      <c r="X76">
        <v>130.6</v>
      </c>
      <c r="Y76">
        <v>140</v>
      </c>
      <c r="Z76">
        <v>130.30000000000001</v>
      </c>
      <c r="AA76">
        <v>115.9</v>
      </c>
      <c r="AB76">
        <v>93.2</v>
      </c>
      <c r="AC76">
        <v>121</v>
      </c>
      <c r="AD76">
        <v>119</v>
      </c>
      <c r="AE76">
        <v>128.6</v>
      </c>
      <c r="AF76">
        <v>119.7</v>
      </c>
      <c r="AG76">
        <v>121.8</v>
      </c>
      <c r="AH76">
        <v>107.4</v>
      </c>
      <c r="AI76">
        <v>84.3</v>
      </c>
      <c r="AJ76">
        <v>135.9</v>
      </c>
      <c r="AK76">
        <v>94.4</v>
      </c>
      <c r="AL76">
        <v>83.1</v>
      </c>
      <c r="AM76">
        <v>118.7</v>
      </c>
      <c r="AN76">
        <v>109.9</v>
      </c>
      <c r="AP76" s="107"/>
    </row>
    <row r="77" spans="1:42">
      <c r="A77" s="106" t="str" cm="1">
        <f t="array" ref="A77">IF(A76&lt;EDATE(DATE4,-12),INDEX(INDICES,MATCH(EDATE(A76,1),'INDICES PRIX'!A:A,0),),"")</f>
        <v/>
      </c>
      <c r="AP77" s="107"/>
    </row>
    <row r="78" spans="1:42">
      <c r="A78" s="106" t="str" cm="1">
        <f t="array" ref="A78">IF(A77&lt;EDATE(DATE4,-12),INDEX(INDICES,MATCH(EDATE(A77,1),'INDICES PRIX'!A:A,0),),"")</f>
        <v/>
      </c>
      <c r="AP78" s="107"/>
    </row>
    <row r="79" spans="1:42">
      <c r="A79" s="106" t="str" cm="1">
        <f t="array" ref="A79">IF(A78&lt;EDATE(DATE4,-12),INDEX(INDICES,MATCH(EDATE(A78,1),'INDICES PRIX'!A:A,0),),"")</f>
        <v/>
      </c>
      <c r="AP79" s="107"/>
    </row>
    <row r="80" spans="1:42">
      <c r="A80" s="106" t="str" cm="1">
        <f t="array" ref="A80">IF(A79&lt;EDATE(DATE4,-12),INDEX(INDICES,MATCH(EDATE(A79,1),'INDICES PRIX'!A:A,0),),"")</f>
        <v/>
      </c>
      <c r="AP80" s="107"/>
    </row>
    <row r="81" spans="1:42">
      <c r="A81" s="106" t="str" cm="1">
        <f t="array" ref="A81">IF(A80&lt;EDATE(DATE4,-12),INDEX(INDICES,MATCH(EDATE(A80,1),'INDICES PRIX'!A:A,0),),"")</f>
        <v/>
      </c>
      <c r="AP81" s="107"/>
    </row>
    <row r="82" spans="1:42">
      <c r="A82" s="106" t="str" cm="1">
        <f t="array" ref="A82">IF(A81&lt;EDATE(DATE4,-12),INDEX(INDICES,MATCH(EDATE(A81,1),'INDICES PRIX'!A:A,0),),"")</f>
        <v/>
      </c>
      <c r="AP82" s="107"/>
    </row>
    <row r="83" spans="1:42">
      <c r="A83" s="106" t="str" cm="1">
        <f t="array" ref="A83">IF(A82&lt;EDATE(DATE4,-12),INDEX(INDICES,MATCH(EDATE(A82,1),'INDICES PRIX'!A:A,0),),"")</f>
        <v/>
      </c>
      <c r="AP83" s="107"/>
    </row>
    <row r="84" spans="1:42">
      <c r="A84" s="108" t="str" cm="1">
        <f t="array" ref="A84">IF(A83&lt;EDATE(DATE4,-12),INDEX(INDICES,MATCH(EDATE(A83,1),'INDICES PRIX'!A:A,0),),"")</f>
        <v/>
      </c>
      <c r="B84" s="109"/>
      <c r="C84" s="109"/>
      <c r="D84" s="109"/>
      <c r="E84" s="109"/>
      <c r="F84" s="109"/>
      <c r="G84" s="109"/>
      <c r="H84" s="109"/>
      <c r="I84" s="109"/>
      <c r="J84" s="109"/>
      <c r="K84" s="109"/>
      <c r="L84" s="109"/>
      <c r="M84" s="109"/>
      <c r="N84" s="109"/>
      <c r="O84" s="109"/>
      <c r="P84" s="109"/>
      <c r="Q84" s="109"/>
      <c r="R84" s="109"/>
      <c r="S84" s="109"/>
      <c r="T84" s="109"/>
      <c r="U84" s="109"/>
      <c r="V84" s="109"/>
      <c r="W84" s="109"/>
      <c r="X84" s="109"/>
      <c r="Y84" s="109"/>
      <c r="Z84" s="109"/>
      <c r="AA84" s="109"/>
      <c r="AB84" s="109"/>
      <c r="AC84" s="109"/>
      <c r="AD84" s="109"/>
      <c r="AE84" s="109"/>
      <c r="AF84" s="109"/>
      <c r="AG84" s="109"/>
      <c r="AH84" s="109"/>
      <c r="AI84" s="109"/>
      <c r="AJ84" s="109"/>
      <c r="AK84" s="109"/>
      <c r="AL84" s="109"/>
      <c r="AM84" s="109"/>
      <c r="AN84" s="109"/>
      <c r="AO84" s="109"/>
      <c r="AP84" s="110"/>
    </row>
    <row r="85" spans="1:42">
      <c r="A85" s="95" t="s">
        <v>198</v>
      </c>
      <c r="B85">
        <f>SUM(B72:B84)</f>
        <v>626.20000000000005</v>
      </c>
      <c r="C85">
        <f>SUM(C72:C84)</f>
        <v>688.6</v>
      </c>
      <c r="D85">
        <f t="shared" ref="D85:AP85" si="4">SUM(D72:D84)</f>
        <v>675.7</v>
      </c>
      <c r="E85">
        <f t="shared" si="4"/>
        <v>739.4</v>
      </c>
      <c r="F85">
        <f t="shared" si="4"/>
        <v>503.33</v>
      </c>
      <c r="G85">
        <f t="shared" si="4"/>
        <v>592.80000000000007</v>
      </c>
      <c r="H85">
        <f t="shared" si="4"/>
        <v>621.5</v>
      </c>
      <c r="I85">
        <f t="shared" si="4"/>
        <v>749.19999999999993</v>
      </c>
      <c r="J85">
        <f t="shared" si="4"/>
        <v>520.6</v>
      </c>
      <c r="K85">
        <f t="shared" si="4"/>
        <v>663.29</v>
      </c>
      <c r="L85">
        <f t="shared" si="4"/>
        <v>507</v>
      </c>
      <c r="M85">
        <f t="shared" si="4"/>
        <v>557</v>
      </c>
      <c r="N85">
        <f t="shared" si="4"/>
        <v>654.70000000000005</v>
      </c>
      <c r="O85">
        <f t="shared" si="4"/>
        <v>440.80000000000007</v>
      </c>
      <c r="P85">
        <f t="shared" si="4"/>
        <v>582.90000000000009</v>
      </c>
      <c r="Q85">
        <f t="shared" si="4"/>
        <v>536.80000000000007</v>
      </c>
      <c r="R85">
        <f t="shared" si="4"/>
        <v>729.1</v>
      </c>
      <c r="S85">
        <f t="shared" si="4"/>
        <v>575.30000000000007</v>
      </c>
      <c r="T85">
        <f t="shared" si="4"/>
        <v>459.3</v>
      </c>
      <c r="U85">
        <f t="shared" si="4"/>
        <v>623.30000000000007</v>
      </c>
      <c r="V85">
        <f t="shared" si="4"/>
        <v>645.20000000000005</v>
      </c>
      <c r="W85">
        <f t="shared" si="4"/>
        <v>574.30000000000007</v>
      </c>
      <c r="X85">
        <f t="shared" si="4"/>
        <v>645.30000000000007</v>
      </c>
      <c r="Y85">
        <f t="shared" si="4"/>
        <v>697.59999999999991</v>
      </c>
      <c r="Z85">
        <f t="shared" si="4"/>
        <v>644</v>
      </c>
      <c r="AA85">
        <f t="shared" si="4"/>
        <v>577.20000000000005</v>
      </c>
      <c r="AB85">
        <f t="shared" si="4"/>
        <v>470.8</v>
      </c>
      <c r="AC85">
        <f t="shared" si="4"/>
        <v>606.4</v>
      </c>
      <c r="AD85">
        <f t="shared" si="4"/>
        <v>592.9</v>
      </c>
      <c r="AE85">
        <f t="shared" si="4"/>
        <v>636.1</v>
      </c>
      <c r="AF85">
        <f t="shared" si="4"/>
        <v>587.1</v>
      </c>
      <c r="AG85">
        <f t="shared" si="4"/>
        <v>592.5</v>
      </c>
      <c r="AH85">
        <f t="shared" si="4"/>
        <v>535.30000000000007</v>
      </c>
      <c r="AI85">
        <f t="shared" si="4"/>
        <v>429.6</v>
      </c>
      <c r="AJ85">
        <f t="shared" si="4"/>
        <v>676.9</v>
      </c>
      <c r="AK85">
        <f t="shared" si="4"/>
        <v>470.19999999999993</v>
      </c>
      <c r="AL85">
        <f t="shared" si="4"/>
        <v>408.6</v>
      </c>
      <c r="AM85">
        <f t="shared" si="4"/>
        <v>591.6</v>
      </c>
      <c r="AN85">
        <f t="shared" si="4"/>
        <v>550.4</v>
      </c>
      <c r="AO85">
        <f t="shared" si="4"/>
        <v>0</v>
      </c>
      <c r="AP85">
        <f t="shared" si="4"/>
        <v>0</v>
      </c>
    </row>
    <row r="87" spans="1:42">
      <c r="B87" s="242" t="str">
        <f>"CUMULS EN N-2 ("&amp;TEXT(EDATE(DATE4,-24),"aaaa")&amp;")"</f>
        <v>CUMULS EN N-2 (2024)</v>
      </c>
      <c r="C87" s="242"/>
      <c r="D87" s="242"/>
    </row>
    <row r="88" spans="1:42">
      <c r="A88" s="104" cm="1">
        <f t="array" ref="A88:AN88">IF(DATE(YEAR(EDATE(DATE4,-24)),1,1)&lt;DATE4,INDEX(INDICES,MATCH(DATE(YEAR(EDATE(DATE4,-24)),1,1),'INDICES PRIX'!A:A,0),),"")</f>
        <v>45292</v>
      </c>
      <c r="B88" s="43">
        <v>124</v>
      </c>
      <c r="C88" s="43">
        <v>132.5</v>
      </c>
      <c r="D88" s="43">
        <v>131.19999999999999</v>
      </c>
      <c r="E88" s="43">
        <v>146.30000000000001</v>
      </c>
      <c r="F88" s="43">
        <v>106.91</v>
      </c>
      <c r="G88" s="43">
        <v>116.8</v>
      </c>
      <c r="H88" s="43">
        <v>124</v>
      </c>
      <c r="I88" s="43">
        <v>209.3</v>
      </c>
      <c r="J88" s="43">
        <v>82.3</v>
      </c>
      <c r="K88" s="43">
        <v>148.45206610165278</v>
      </c>
      <c r="L88" s="43">
        <v>110</v>
      </c>
      <c r="M88" s="43">
        <v>106.9</v>
      </c>
      <c r="N88" s="43">
        <v>129.19999999999999</v>
      </c>
      <c r="O88" s="43">
        <v>90.3</v>
      </c>
      <c r="P88" s="43">
        <v>117.2</v>
      </c>
      <c r="Q88" s="43">
        <v>107.1</v>
      </c>
      <c r="R88" s="43">
        <v>145.4</v>
      </c>
      <c r="S88" s="43">
        <v>109.4</v>
      </c>
      <c r="T88" s="43">
        <v>93.2</v>
      </c>
      <c r="U88" s="43">
        <v>112.4</v>
      </c>
      <c r="V88" s="43">
        <v>129.5</v>
      </c>
      <c r="W88" s="43">
        <v>115.1</v>
      </c>
      <c r="X88" s="43">
        <v>128.19999999999999</v>
      </c>
      <c r="Y88" s="43">
        <v>138.4</v>
      </c>
      <c r="Z88" s="43">
        <v>128.4</v>
      </c>
      <c r="AA88" s="43">
        <v>112.8</v>
      </c>
      <c r="AB88" s="43">
        <v>92.3</v>
      </c>
      <c r="AC88" s="43">
        <v>127.5</v>
      </c>
      <c r="AD88" s="43">
        <v>123.2</v>
      </c>
      <c r="AE88" s="43">
        <v>118.6</v>
      </c>
      <c r="AF88" s="43">
        <v>115.9</v>
      </c>
      <c r="AG88" s="43">
        <v>117.1</v>
      </c>
      <c r="AH88" s="43">
        <v>106.4</v>
      </c>
      <c r="AI88" s="43">
        <v>100.4</v>
      </c>
      <c r="AJ88" s="43">
        <v>140.19999999999999</v>
      </c>
      <c r="AK88" s="43">
        <v>97.9</v>
      </c>
      <c r="AL88" s="43">
        <v>88.5</v>
      </c>
      <c r="AM88" s="43">
        <v>115.2</v>
      </c>
      <c r="AN88" s="43">
        <v>107.3</v>
      </c>
      <c r="AO88" s="43"/>
      <c r="AP88" s="7"/>
    </row>
    <row r="89" spans="1:42">
      <c r="A89" s="106" cm="1">
        <f t="array" ref="A89:AN89">IF(A88&lt;EDATE(DATE4,-24),INDEX(INDICES,MATCH(EDATE(A88,1),'INDICES PRIX'!A:A,0),),"")</f>
        <v>45323</v>
      </c>
      <c r="B89">
        <v>124.1</v>
      </c>
      <c r="C89">
        <v>132.69999999999999</v>
      </c>
      <c r="D89">
        <v>131.4</v>
      </c>
      <c r="E89">
        <v>152.9</v>
      </c>
      <c r="F89">
        <v>111.34</v>
      </c>
      <c r="G89">
        <v>117.8</v>
      </c>
      <c r="H89">
        <v>124</v>
      </c>
      <c r="I89">
        <v>193</v>
      </c>
      <c r="J89">
        <v>68.900000000000006</v>
      </c>
      <c r="K89">
        <v>159.28371315062699</v>
      </c>
      <c r="L89">
        <v>107.7</v>
      </c>
      <c r="M89">
        <v>106.9</v>
      </c>
      <c r="N89">
        <v>130.4</v>
      </c>
      <c r="O89">
        <v>91.2</v>
      </c>
      <c r="P89">
        <v>118.2</v>
      </c>
      <c r="Q89">
        <v>107.2</v>
      </c>
      <c r="R89">
        <v>144.5</v>
      </c>
      <c r="S89">
        <v>108.4</v>
      </c>
      <c r="T89">
        <v>95.4</v>
      </c>
      <c r="U89">
        <v>112.4</v>
      </c>
      <c r="V89">
        <v>124.4</v>
      </c>
      <c r="W89">
        <v>116.7</v>
      </c>
      <c r="X89">
        <v>129.1</v>
      </c>
      <c r="Y89">
        <v>138.6</v>
      </c>
      <c r="Z89">
        <v>126.6</v>
      </c>
      <c r="AA89">
        <v>112.5</v>
      </c>
      <c r="AB89">
        <v>93.5</v>
      </c>
      <c r="AC89">
        <v>125.1</v>
      </c>
      <c r="AD89">
        <v>122.2</v>
      </c>
      <c r="AE89">
        <v>116.3</v>
      </c>
      <c r="AF89">
        <v>118.7</v>
      </c>
      <c r="AG89">
        <v>121.8</v>
      </c>
      <c r="AH89">
        <v>108.7</v>
      </c>
      <c r="AI89">
        <v>100.2</v>
      </c>
      <c r="AJ89">
        <v>137.5</v>
      </c>
      <c r="AK89">
        <v>98.8</v>
      </c>
      <c r="AL89">
        <v>88.2</v>
      </c>
      <c r="AM89">
        <v>115.9</v>
      </c>
      <c r="AN89">
        <v>107.9</v>
      </c>
      <c r="AP89" s="107"/>
    </row>
    <row r="90" spans="1:42">
      <c r="A90" s="106" cm="1">
        <f t="array" ref="A90:AN90">IF(A89&lt;EDATE(DATE4,-24),INDEX(INDICES,MATCH(EDATE(A89,1),'INDICES PRIX'!A:A,0),),"")</f>
        <v>45352</v>
      </c>
      <c r="B90">
        <v>124.5</v>
      </c>
      <c r="C90">
        <v>132.9</v>
      </c>
      <c r="D90">
        <v>131.69999999999999</v>
      </c>
      <c r="E90">
        <v>149.80000000000001</v>
      </c>
      <c r="F90">
        <v>109.98</v>
      </c>
      <c r="G90">
        <v>117.4</v>
      </c>
      <c r="H90">
        <v>124</v>
      </c>
      <c r="I90">
        <v>185.9</v>
      </c>
      <c r="J90">
        <v>63.2</v>
      </c>
      <c r="K90">
        <v>155.41906657668858</v>
      </c>
      <c r="L90">
        <v>105.2</v>
      </c>
      <c r="M90">
        <v>106.9</v>
      </c>
      <c r="N90">
        <v>129.4</v>
      </c>
      <c r="O90">
        <v>90.7</v>
      </c>
      <c r="P90">
        <v>117.7</v>
      </c>
      <c r="Q90">
        <v>105.6</v>
      </c>
      <c r="R90">
        <v>144</v>
      </c>
      <c r="S90">
        <v>107.8</v>
      </c>
      <c r="T90">
        <v>95.1</v>
      </c>
      <c r="U90">
        <v>120.2</v>
      </c>
      <c r="V90">
        <v>129.19999999999999</v>
      </c>
      <c r="W90">
        <v>116.7</v>
      </c>
      <c r="X90">
        <v>126.9</v>
      </c>
      <c r="Y90">
        <v>138.4</v>
      </c>
      <c r="Z90">
        <v>130.4</v>
      </c>
      <c r="AA90">
        <v>113.1</v>
      </c>
      <c r="AB90">
        <v>96.2</v>
      </c>
      <c r="AC90">
        <v>124.8</v>
      </c>
      <c r="AD90">
        <v>122.2</v>
      </c>
      <c r="AE90">
        <v>119</v>
      </c>
      <c r="AF90">
        <v>117.1</v>
      </c>
      <c r="AG90">
        <v>119.6</v>
      </c>
      <c r="AH90">
        <v>108.3</v>
      </c>
      <c r="AI90">
        <v>99.9</v>
      </c>
      <c r="AJ90">
        <v>137.30000000000001</v>
      </c>
      <c r="AK90">
        <v>97.7</v>
      </c>
      <c r="AL90">
        <v>89.2</v>
      </c>
      <c r="AM90">
        <v>115.6</v>
      </c>
      <c r="AN90">
        <v>109.9</v>
      </c>
      <c r="AP90" s="107"/>
    </row>
    <row r="91" spans="1:42">
      <c r="A91" s="106" cm="1">
        <f t="array" ref="A91:AN91">IF(A90&lt;EDATE(DATE4,-24),INDEX(INDICES,MATCH(EDATE(A90,1),'INDICES PRIX'!A:A,0),),"")</f>
        <v>45383</v>
      </c>
      <c r="B91">
        <v>125</v>
      </c>
      <c r="C91">
        <v>133.30000000000001</v>
      </c>
      <c r="D91">
        <v>132</v>
      </c>
      <c r="E91">
        <v>147.9</v>
      </c>
      <c r="F91">
        <v>109.42</v>
      </c>
      <c r="G91">
        <v>118.2</v>
      </c>
      <c r="H91">
        <v>123.4</v>
      </c>
      <c r="I91">
        <v>165.3</v>
      </c>
      <c r="J91">
        <v>66.7</v>
      </c>
      <c r="K91">
        <v>154.33767464544894</v>
      </c>
      <c r="L91">
        <v>103.9</v>
      </c>
      <c r="M91">
        <v>107.7</v>
      </c>
      <c r="N91">
        <v>129.69999999999999</v>
      </c>
      <c r="O91">
        <v>89.2</v>
      </c>
      <c r="P91">
        <v>118.6</v>
      </c>
      <c r="Q91">
        <v>106.8</v>
      </c>
      <c r="R91">
        <v>143.9</v>
      </c>
      <c r="S91">
        <v>109.9</v>
      </c>
      <c r="T91">
        <v>91.9</v>
      </c>
      <c r="U91">
        <v>126.2</v>
      </c>
      <c r="V91">
        <v>128.1</v>
      </c>
      <c r="W91">
        <v>115.9</v>
      </c>
      <c r="X91">
        <v>127.6</v>
      </c>
      <c r="Y91">
        <v>137.30000000000001</v>
      </c>
      <c r="Z91">
        <v>130</v>
      </c>
      <c r="AA91">
        <v>113</v>
      </c>
      <c r="AB91">
        <v>98.8</v>
      </c>
      <c r="AC91">
        <v>122.3</v>
      </c>
      <c r="AD91">
        <v>121.5</v>
      </c>
      <c r="AE91">
        <v>122.9</v>
      </c>
      <c r="AF91">
        <v>114</v>
      </c>
      <c r="AG91">
        <v>115.6</v>
      </c>
      <c r="AH91">
        <v>105.7</v>
      </c>
      <c r="AI91">
        <v>100</v>
      </c>
      <c r="AJ91">
        <v>137.19999999999999</v>
      </c>
      <c r="AK91">
        <v>97</v>
      </c>
      <c r="AL91">
        <v>90</v>
      </c>
      <c r="AM91">
        <v>115.6</v>
      </c>
      <c r="AN91">
        <v>109.7</v>
      </c>
      <c r="AP91" s="107"/>
    </row>
    <row r="92" spans="1:42">
      <c r="A92" s="106" cm="1">
        <f t="array" ref="A92:AN92">IF(A91&lt;EDATE(DATE4,-24),INDEX(INDICES,MATCH(EDATE(A91,1),'INDICES PRIX'!A:A,0),),"")</f>
        <v>45413</v>
      </c>
      <c r="B92">
        <v>124.9</v>
      </c>
      <c r="C92">
        <v>133.69999999999999</v>
      </c>
      <c r="D92">
        <v>132.30000000000001</v>
      </c>
      <c r="E92">
        <v>141.19999999999999</v>
      </c>
      <c r="F92">
        <v>105.67</v>
      </c>
      <c r="G92">
        <v>118.3</v>
      </c>
      <c r="H92">
        <v>123.4</v>
      </c>
      <c r="I92">
        <v>125.8</v>
      </c>
      <c r="J92">
        <v>72.3</v>
      </c>
      <c r="K92">
        <v>144.88879104953529</v>
      </c>
      <c r="L92">
        <v>104.1</v>
      </c>
      <c r="M92">
        <v>107.7</v>
      </c>
      <c r="N92">
        <v>129</v>
      </c>
      <c r="O92">
        <v>89</v>
      </c>
      <c r="P92">
        <v>115.2</v>
      </c>
      <c r="Q92">
        <v>107.7</v>
      </c>
      <c r="R92">
        <v>143.6</v>
      </c>
      <c r="S92">
        <v>107.8</v>
      </c>
      <c r="T92">
        <v>92.7</v>
      </c>
      <c r="U92">
        <v>132.80000000000001</v>
      </c>
      <c r="V92">
        <v>130.80000000000001</v>
      </c>
      <c r="W92">
        <v>114.8</v>
      </c>
      <c r="X92">
        <v>128.80000000000001</v>
      </c>
      <c r="Y92">
        <v>139.6</v>
      </c>
      <c r="Z92">
        <v>129.80000000000001</v>
      </c>
      <c r="AA92">
        <v>113.5</v>
      </c>
      <c r="AB92">
        <v>98</v>
      </c>
      <c r="AC92">
        <v>124.8</v>
      </c>
      <c r="AD92">
        <v>122</v>
      </c>
      <c r="AE92">
        <v>124.7</v>
      </c>
      <c r="AF92">
        <v>117.5</v>
      </c>
      <c r="AG92">
        <v>120.7</v>
      </c>
      <c r="AH92">
        <v>107.4</v>
      </c>
      <c r="AI92">
        <v>98.4</v>
      </c>
      <c r="AJ92">
        <v>137.19999999999999</v>
      </c>
      <c r="AK92">
        <v>97</v>
      </c>
      <c r="AL92">
        <v>90</v>
      </c>
      <c r="AM92">
        <v>115.9</v>
      </c>
      <c r="AN92">
        <v>112</v>
      </c>
      <c r="AP92" s="107"/>
    </row>
    <row r="93" spans="1:42">
      <c r="A93" s="106" t="str" cm="1">
        <f t="array" ref="A93">IF(A92&lt;EDATE(DATE4,-24),INDEX(INDICES,MATCH(EDATE(A92,1),'INDICES PRIX'!A:A,0),),"")</f>
        <v/>
      </c>
      <c r="AP93" s="107"/>
    </row>
    <row r="94" spans="1:42">
      <c r="A94" s="106" t="str" cm="1">
        <f t="array" ref="A94">IF(A93&lt;EDATE(DATE4,-24),INDEX(INDICES,MATCH(EDATE(A93,1),'INDICES PRIX'!A:A,0),),"")</f>
        <v/>
      </c>
      <c r="AP94" s="107"/>
    </row>
    <row r="95" spans="1:42">
      <c r="A95" s="106" t="str" cm="1">
        <f t="array" ref="A95">IF(A94&lt;EDATE(DATE4,-24),INDEX(INDICES,MATCH(EDATE(A94,1),'INDICES PRIX'!A:A,0),),"")</f>
        <v/>
      </c>
      <c r="AP95" s="107"/>
    </row>
    <row r="96" spans="1:42">
      <c r="A96" s="106" t="str" cm="1">
        <f t="array" ref="A96">IF(A95&lt;EDATE(DATE4,-24),INDEX(INDICES,MATCH(EDATE(A95,1),'INDICES PRIX'!A:A,0),),"")</f>
        <v/>
      </c>
      <c r="AP96" s="107"/>
    </row>
    <row r="97" spans="1:42">
      <c r="A97" s="106" t="str" cm="1">
        <f t="array" ref="A97">IF(A96&lt;EDATE(DATE4,-24),INDEX(INDICES,MATCH(EDATE(A96,1),'INDICES PRIX'!A:A,0),),"")</f>
        <v/>
      </c>
      <c r="AP97" s="107"/>
    </row>
    <row r="98" spans="1:42">
      <c r="A98" s="106" t="str" cm="1">
        <f t="array" ref="A98">IF(A97&lt;EDATE(DATE4,-24),INDEX(INDICES,MATCH(EDATE(A97,1),'INDICES PRIX'!A:A,0),),"")</f>
        <v/>
      </c>
      <c r="AP98" s="107"/>
    </row>
    <row r="99" spans="1:42">
      <c r="A99" s="106" t="str" cm="1">
        <f t="array" ref="A99">IF(A98&lt;EDATE(DATE4,-24),INDEX(INDICES,MATCH(EDATE(A98,1),'INDICES PRIX'!A:A,0),),"")</f>
        <v/>
      </c>
      <c r="AP99" s="107"/>
    </row>
    <row r="100" spans="1:42">
      <c r="A100" s="108" t="str" cm="1">
        <f t="array" ref="A100">IF(A99&lt;EDATE(DATE4,-24),INDEX(INDICES,MATCH(EDATE(A99,1),'INDICES PRIX'!A:A,0),),"")</f>
        <v/>
      </c>
      <c r="B100" s="109"/>
      <c r="C100" s="109"/>
      <c r="D100" s="109"/>
      <c r="E100" s="109"/>
      <c r="F100" s="109"/>
      <c r="G100" s="109"/>
      <c r="H100" s="109"/>
      <c r="I100" s="109"/>
      <c r="J100" s="109"/>
      <c r="K100" s="109"/>
      <c r="L100" s="109"/>
      <c r="M100" s="109"/>
      <c r="N100" s="109"/>
      <c r="O100" s="109"/>
      <c r="P100" s="109"/>
      <c r="Q100" s="109"/>
      <c r="R100" s="109"/>
      <c r="S100" s="109"/>
      <c r="T100" s="109"/>
      <c r="U100" s="109"/>
      <c r="V100" s="109"/>
      <c r="W100" s="109"/>
      <c r="X100" s="109"/>
      <c r="Y100" s="109"/>
      <c r="Z100" s="109"/>
      <c r="AA100" s="109"/>
      <c r="AB100" s="109"/>
      <c r="AC100" s="109"/>
      <c r="AD100" s="109"/>
      <c r="AE100" s="109"/>
      <c r="AF100" s="109"/>
      <c r="AG100" s="109"/>
      <c r="AH100" s="109"/>
      <c r="AI100" s="109"/>
      <c r="AJ100" s="109"/>
      <c r="AK100" s="109"/>
      <c r="AL100" s="109"/>
      <c r="AM100" s="109"/>
      <c r="AN100" s="109"/>
      <c r="AO100" s="109"/>
      <c r="AP100" s="110"/>
    </row>
    <row r="101" spans="1:42">
      <c r="A101" s="95" t="s">
        <v>198</v>
      </c>
      <c r="B101">
        <f>SUM(B88:B100)</f>
        <v>622.5</v>
      </c>
      <c r="C101">
        <f>SUM(C88:C100)</f>
        <v>665.10000000000014</v>
      </c>
      <c r="D101">
        <f t="shared" ref="D101:AP101" si="5">SUM(D88:D100)</f>
        <v>658.59999999999991</v>
      </c>
      <c r="E101">
        <f t="shared" si="5"/>
        <v>738.10000000000014</v>
      </c>
      <c r="F101">
        <f t="shared" si="5"/>
        <v>543.32000000000005</v>
      </c>
      <c r="G101">
        <f t="shared" si="5"/>
        <v>588.5</v>
      </c>
      <c r="H101">
        <f t="shared" si="5"/>
        <v>618.79999999999995</v>
      </c>
      <c r="I101">
        <f t="shared" si="5"/>
        <v>879.3</v>
      </c>
      <c r="J101">
        <f t="shared" si="5"/>
        <v>353.4</v>
      </c>
      <c r="K101">
        <f t="shared" si="5"/>
        <v>762.38131152395249</v>
      </c>
      <c r="L101">
        <f t="shared" si="5"/>
        <v>530.9</v>
      </c>
      <c r="M101">
        <f t="shared" si="5"/>
        <v>536.1</v>
      </c>
      <c r="N101">
        <f t="shared" si="5"/>
        <v>647.70000000000005</v>
      </c>
      <c r="O101">
        <f t="shared" si="5"/>
        <v>450.4</v>
      </c>
      <c r="P101">
        <f t="shared" si="5"/>
        <v>586.90000000000009</v>
      </c>
      <c r="Q101">
        <f t="shared" si="5"/>
        <v>534.4</v>
      </c>
      <c r="R101">
        <f t="shared" si="5"/>
        <v>721.4</v>
      </c>
      <c r="S101">
        <f t="shared" si="5"/>
        <v>543.29999999999995</v>
      </c>
      <c r="T101">
        <f t="shared" si="5"/>
        <v>468.3</v>
      </c>
      <c r="U101">
        <f t="shared" si="5"/>
        <v>604</v>
      </c>
      <c r="V101">
        <f t="shared" si="5"/>
        <v>642</v>
      </c>
      <c r="W101">
        <f t="shared" si="5"/>
        <v>579.19999999999993</v>
      </c>
      <c r="X101">
        <f t="shared" si="5"/>
        <v>640.59999999999991</v>
      </c>
      <c r="Y101">
        <f t="shared" si="5"/>
        <v>692.30000000000007</v>
      </c>
      <c r="Z101">
        <f t="shared" si="5"/>
        <v>645.20000000000005</v>
      </c>
      <c r="AA101">
        <f t="shared" si="5"/>
        <v>564.9</v>
      </c>
      <c r="AB101">
        <f t="shared" si="5"/>
        <v>478.8</v>
      </c>
      <c r="AC101">
        <f t="shared" si="5"/>
        <v>624.5</v>
      </c>
      <c r="AD101">
        <f t="shared" si="5"/>
        <v>611.1</v>
      </c>
      <c r="AE101">
        <f t="shared" si="5"/>
        <v>601.5</v>
      </c>
      <c r="AF101">
        <f t="shared" si="5"/>
        <v>583.20000000000005</v>
      </c>
      <c r="AG101">
        <f t="shared" si="5"/>
        <v>594.80000000000007</v>
      </c>
      <c r="AH101">
        <f t="shared" si="5"/>
        <v>536.5</v>
      </c>
      <c r="AI101">
        <f t="shared" si="5"/>
        <v>498.9</v>
      </c>
      <c r="AJ101">
        <f t="shared" si="5"/>
        <v>689.40000000000009</v>
      </c>
      <c r="AK101">
        <f t="shared" si="5"/>
        <v>488.4</v>
      </c>
      <c r="AL101">
        <f t="shared" si="5"/>
        <v>445.9</v>
      </c>
      <c r="AM101">
        <f t="shared" si="5"/>
        <v>578.20000000000005</v>
      </c>
      <c r="AN101">
        <f t="shared" si="5"/>
        <v>546.79999999999995</v>
      </c>
      <c r="AO101">
        <f t="shared" si="5"/>
        <v>0</v>
      </c>
      <c r="AP101">
        <f t="shared" si="5"/>
        <v>0</v>
      </c>
    </row>
    <row r="103" spans="1:42" ht="18.75">
      <c r="B103" s="235" t="str">
        <f>"DEPUIS "&amp;UPPER(TEXT(DATE4,"mmmmmmmm"))</f>
        <v>DEPUIS MAI</v>
      </c>
      <c r="C103" s="235"/>
      <c r="D103" s="235"/>
      <c r="E103" s="235"/>
    </row>
    <row r="104" spans="1:42">
      <c r="B104" s="242" t="str">
        <f>"CUMULS EN N ("&amp;TEXT(DATE4,"aaaa")&amp;")"</f>
        <v>CUMULS EN N (2026)</v>
      </c>
      <c r="C104" s="242"/>
      <c r="D104" s="242"/>
    </row>
    <row r="105" spans="1:42">
      <c r="A105" s="104" cm="1">
        <f t="array" ref="A105:AN105">INDEX(INDICES,MATCH(EDATE(DATE4,-11),'INDICES PRIX'!A:A,0),)</f>
        <v>45809</v>
      </c>
      <c r="B105" s="43">
        <v>126</v>
      </c>
      <c r="C105" s="43">
        <v>138.69999999999999</v>
      </c>
      <c r="D105" s="43">
        <v>135.80000000000001</v>
      </c>
      <c r="E105" s="43">
        <v>143.9</v>
      </c>
      <c r="F105" s="43">
        <v>98.01</v>
      </c>
      <c r="G105" s="43">
        <v>119.2</v>
      </c>
      <c r="H105" s="43">
        <v>125.5</v>
      </c>
      <c r="I105" s="43">
        <v>96.2</v>
      </c>
      <c r="J105" s="43">
        <v>86.2</v>
      </c>
      <c r="K105" s="43">
        <v>127.85</v>
      </c>
      <c r="L105" s="43">
        <v>103.6</v>
      </c>
      <c r="M105" s="43">
        <v>113.4</v>
      </c>
      <c r="N105" s="43">
        <v>130.69999999999999</v>
      </c>
      <c r="O105" s="43">
        <v>89.4</v>
      </c>
      <c r="P105" s="43">
        <v>115.2</v>
      </c>
      <c r="Q105" s="43">
        <v>107.7</v>
      </c>
      <c r="R105" s="43">
        <v>145.4</v>
      </c>
      <c r="S105" s="43">
        <v>110.9</v>
      </c>
      <c r="T105" s="43">
        <v>93.4</v>
      </c>
      <c r="U105" s="43">
        <v>115.4</v>
      </c>
      <c r="V105" s="43">
        <v>130.30000000000001</v>
      </c>
      <c r="W105" s="43">
        <v>114.5</v>
      </c>
      <c r="X105" s="43">
        <v>129.80000000000001</v>
      </c>
      <c r="Y105" s="43">
        <v>140.19999999999999</v>
      </c>
      <c r="Z105" s="43">
        <v>129.69999999999999</v>
      </c>
      <c r="AA105" s="43">
        <v>116.4</v>
      </c>
      <c r="AB105" s="43">
        <v>93</v>
      </c>
      <c r="AC105" s="43">
        <v>120.7</v>
      </c>
      <c r="AD105" s="43">
        <v>119.1</v>
      </c>
      <c r="AE105" s="43">
        <v>126</v>
      </c>
      <c r="AF105" s="43">
        <v>119.2</v>
      </c>
      <c r="AG105" s="43">
        <v>122.3</v>
      </c>
      <c r="AH105" s="43">
        <v>108.9</v>
      </c>
      <c r="AI105" s="43">
        <v>83.5</v>
      </c>
      <c r="AJ105" s="43">
        <v>136.30000000000001</v>
      </c>
      <c r="AK105" s="43">
        <v>94.7</v>
      </c>
      <c r="AL105" s="43">
        <v>82.5</v>
      </c>
      <c r="AM105" s="43">
        <v>118.3</v>
      </c>
      <c r="AN105" s="43">
        <v>108.9</v>
      </c>
      <c r="AO105" s="43"/>
      <c r="AP105" s="7"/>
    </row>
    <row r="106" spans="1:42">
      <c r="A106" s="106" cm="1">
        <f t="array" ref="A106:AN106">INDEX(INDICES,MATCH(EDATE(A105,1),'INDICES PRIX'!A:A,0),)</f>
        <v>45839</v>
      </c>
      <c r="B106">
        <v>125.5</v>
      </c>
      <c r="C106">
        <v>139</v>
      </c>
      <c r="D106">
        <v>136</v>
      </c>
      <c r="E106">
        <v>147.30000000000001</v>
      </c>
      <c r="F106">
        <v>100.68</v>
      </c>
      <c r="G106">
        <v>121.2</v>
      </c>
      <c r="H106">
        <v>125.3</v>
      </c>
      <c r="I106">
        <v>99.2</v>
      </c>
      <c r="J106">
        <v>86.6</v>
      </c>
      <c r="K106">
        <v>132.49710318172353</v>
      </c>
      <c r="L106">
        <v>101</v>
      </c>
      <c r="M106">
        <v>112.9</v>
      </c>
      <c r="N106">
        <v>131.30000000000001</v>
      </c>
      <c r="O106">
        <v>88.6</v>
      </c>
      <c r="P106">
        <v>115.2</v>
      </c>
      <c r="Q106">
        <v>107</v>
      </c>
      <c r="R106">
        <v>144</v>
      </c>
      <c r="S106">
        <v>108.8</v>
      </c>
      <c r="T106">
        <v>92.7</v>
      </c>
      <c r="U106">
        <v>118.8</v>
      </c>
      <c r="V106">
        <v>132.19999999999999</v>
      </c>
      <c r="W106">
        <v>113.9</v>
      </c>
      <c r="X106">
        <v>129.30000000000001</v>
      </c>
      <c r="Y106">
        <v>138.9</v>
      </c>
      <c r="Z106">
        <v>129.9</v>
      </c>
      <c r="AA106">
        <v>116.5</v>
      </c>
      <c r="AB106">
        <v>90.4</v>
      </c>
      <c r="AC106">
        <v>121</v>
      </c>
      <c r="AD106">
        <v>119.7</v>
      </c>
      <c r="AE106">
        <v>125.5</v>
      </c>
      <c r="AF106">
        <v>121.5</v>
      </c>
      <c r="AG106">
        <v>124.8</v>
      </c>
      <c r="AH106">
        <v>107.6</v>
      </c>
      <c r="AI106">
        <v>82.4</v>
      </c>
      <c r="AJ106">
        <v>137.80000000000001</v>
      </c>
      <c r="AK106">
        <v>94.6</v>
      </c>
      <c r="AL106">
        <v>82.1</v>
      </c>
      <c r="AM106">
        <v>118.1</v>
      </c>
      <c r="AN106">
        <v>108.3</v>
      </c>
      <c r="AP106" s="107"/>
    </row>
    <row r="107" spans="1:42">
      <c r="A107" s="106" cm="1">
        <f t="array" ref="A107:AN107">INDEX(INDICES,MATCH(EDATE(A106,1),'INDICES PRIX'!A:A,0),)</f>
        <v>45870</v>
      </c>
      <c r="B107">
        <v>128.4</v>
      </c>
      <c r="C107">
        <v>139.30000000000001</v>
      </c>
      <c r="D107">
        <v>136.30000000000001</v>
      </c>
      <c r="E107">
        <v>143.30000000000001</v>
      </c>
      <c r="F107">
        <v>98.92</v>
      </c>
      <c r="G107">
        <v>121</v>
      </c>
      <c r="H107">
        <v>125.3</v>
      </c>
      <c r="I107">
        <v>106.4</v>
      </c>
      <c r="J107">
        <v>80.7</v>
      </c>
      <c r="K107">
        <v>128.22471866649806</v>
      </c>
      <c r="L107">
        <v>101.8</v>
      </c>
      <c r="M107">
        <v>112.9</v>
      </c>
      <c r="N107">
        <v>132.69999999999999</v>
      </c>
      <c r="O107">
        <v>87.8</v>
      </c>
      <c r="P107">
        <v>116.8</v>
      </c>
      <c r="Q107">
        <v>107.3</v>
      </c>
      <c r="R107">
        <v>143</v>
      </c>
      <c r="S107">
        <v>109.6</v>
      </c>
      <c r="T107">
        <v>91.4</v>
      </c>
      <c r="U107">
        <v>114</v>
      </c>
      <c r="V107">
        <v>133.6</v>
      </c>
      <c r="W107">
        <v>114.9</v>
      </c>
      <c r="X107">
        <v>129.4</v>
      </c>
      <c r="Y107">
        <v>140.30000000000001</v>
      </c>
      <c r="Z107">
        <v>129.30000000000001</v>
      </c>
      <c r="AA107">
        <v>116.9</v>
      </c>
      <c r="AB107">
        <v>88.7</v>
      </c>
      <c r="AC107">
        <v>121.3</v>
      </c>
      <c r="AD107">
        <v>119.9</v>
      </c>
      <c r="AE107">
        <v>125.7</v>
      </c>
      <c r="AF107">
        <v>120.4</v>
      </c>
      <c r="AG107">
        <v>124.9</v>
      </c>
      <c r="AH107">
        <v>106.3</v>
      </c>
      <c r="AI107">
        <v>82.4</v>
      </c>
      <c r="AJ107">
        <v>137.9</v>
      </c>
      <c r="AK107">
        <v>92.1</v>
      </c>
      <c r="AL107">
        <v>79</v>
      </c>
      <c r="AM107">
        <v>118.8</v>
      </c>
      <c r="AN107">
        <v>108.2</v>
      </c>
      <c r="AP107" s="107"/>
    </row>
    <row r="108" spans="1:42">
      <c r="A108" s="106" cm="1">
        <f t="array" ref="A108:AN108">INDEX(INDICES,MATCH(EDATE(A107,1),'INDICES PRIX'!A:A,0),)</f>
        <v>45901</v>
      </c>
      <c r="B108">
        <v>126.8</v>
      </c>
      <c r="C108">
        <v>139.69999999999999</v>
      </c>
      <c r="D108">
        <v>136.5</v>
      </c>
      <c r="E108">
        <v>145.1</v>
      </c>
      <c r="F108">
        <v>99.17</v>
      </c>
      <c r="G108">
        <v>118.1</v>
      </c>
      <c r="H108">
        <v>125.3</v>
      </c>
      <c r="I108">
        <v>107.4</v>
      </c>
      <c r="J108">
        <v>78.7</v>
      </c>
      <c r="K108">
        <v>129.37702154404852</v>
      </c>
      <c r="L108">
        <v>101.9</v>
      </c>
      <c r="M108">
        <v>112.9</v>
      </c>
      <c r="N108">
        <v>131.30000000000001</v>
      </c>
      <c r="O108">
        <v>87.7</v>
      </c>
      <c r="P108">
        <v>115.8</v>
      </c>
      <c r="Q108">
        <v>106.2</v>
      </c>
      <c r="R108">
        <v>143.6</v>
      </c>
      <c r="S108">
        <v>106.9</v>
      </c>
      <c r="T108">
        <v>90.7</v>
      </c>
      <c r="U108">
        <v>109.8</v>
      </c>
      <c r="V108">
        <v>130.69999999999999</v>
      </c>
      <c r="W108">
        <v>114.1</v>
      </c>
      <c r="X108">
        <v>129.1</v>
      </c>
      <c r="Y108">
        <v>140.4</v>
      </c>
      <c r="Z108">
        <v>127</v>
      </c>
      <c r="AA108">
        <v>116.9</v>
      </c>
      <c r="AB108">
        <v>88</v>
      </c>
      <c r="AC108">
        <v>121.4</v>
      </c>
      <c r="AD108">
        <v>118.3</v>
      </c>
      <c r="AE108">
        <v>124.1</v>
      </c>
      <c r="AF108">
        <v>122.2</v>
      </c>
      <c r="AG108">
        <v>128.19999999999999</v>
      </c>
      <c r="AH108">
        <v>107.6</v>
      </c>
      <c r="AI108">
        <v>82.4</v>
      </c>
      <c r="AJ108">
        <v>134.69999999999999</v>
      </c>
      <c r="AK108">
        <v>92.1</v>
      </c>
      <c r="AL108">
        <v>80.099999999999994</v>
      </c>
      <c r="AM108">
        <v>118.5</v>
      </c>
      <c r="AN108">
        <v>107.1</v>
      </c>
      <c r="AP108" s="107"/>
    </row>
    <row r="109" spans="1:42">
      <c r="A109" s="106" cm="1">
        <f t="array" ref="A109:AN109">INDEX(INDICES,MATCH(EDATE(A108,1),'INDICES PRIX'!A:A,0),)</f>
        <v>45931</v>
      </c>
      <c r="B109">
        <v>126.7</v>
      </c>
      <c r="C109">
        <v>140.4</v>
      </c>
      <c r="D109">
        <v>136.80000000000001</v>
      </c>
      <c r="E109">
        <v>143.4</v>
      </c>
      <c r="F109">
        <v>98.62</v>
      </c>
      <c r="G109">
        <v>119.5</v>
      </c>
      <c r="H109">
        <v>125.4</v>
      </c>
      <c r="I109">
        <v>109.5</v>
      </c>
      <c r="J109">
        <v>77.599999999999994</v>
      </c>
      <c r="K109">
        <v>128.47290697858585</v>
      </c>
      <c r="L109">
        <v>100.9</v>
      </c>
      <c r="M109">
        <v>113.8</v>
      </c>
      <c r="N109">
        <v>131.69999999999999</v>
      </c>
      <c r="O109">
        <v>86.4</v>
      </c>
      <c r="P109">
        <v>116</v>
      </c>
      <c r="Q109">
        <v>105.8</v>
      </c>
      <c r="R109">
        <v>143.30000000000001</v>
      </c>
      <c r="S109">
        <v>107</v>
      </c>
      <c r="T109">
        <v>90.4</v>
      </c>
      <c r="U109">
        <v>106.7</v>
      </c>
      <c r="V109">
        <v>132.30000000000001</v>
      </c>
      <c r="W109">
        <v>114.7</v>
      </c>
      <c r="X109">
        <v>127</v>
      </c>
      <c r="Y109">
        <v>139</v>
      </c>
      <c r="Z109">
        <v>126.5</v>
      </c>
      <c r="AA109">
        <v>116.5</v>
      </c>
      <c r="AB109">
        <v>88.3</v>
      </c>
      <c r="AC109">
        <v>121.8</v>
      </c>
      <c r="AD109">
        <v>117.7</v>
      </c>
      <c r="AE109">
        <v>123.9</v>
      </c>
      <c r="AF109">
        <v>121.3</v>
      </c>
      <c r="AG109">
        <v>123.8</v>
      </c>
      <c r="AH109">
        <v>106.5</v>
      </c>
      <c r="AI109">
        <v>82.9</v>
      </c>
      <c r="AJ109">
        <v>134.80000000000001</v>
      </c>
      <c r="AK109">
        <v>91.3</v>
      </c>
      <c r="AL109">
        <v>78.5</v>
      </c>
      <c r="AM109">
        <v>118.2</v>
      </c>
      <c r="AN109">
        <v>107</v>
      </c>
      <c r="AP109" s="107"/>
    </row>
    <row r="110" spans="1:42">
      <c r="A110" s="106" cm="1">
        <f t="array" ref="A110:AN110">INDEX(INDICES,MATCH(EDATE(A109,1),'INDICES PRIX'!A:A,0),)</f>
        <v>45962</v>
      </c>
      <c r="B110">
        <v>126.2</v>
      </c>
      <c r="C110">
        <v>141.1</v>
      </c>
      <c r="D110">
        <v>137.1</v>
      </c>
      <c r="E110">
        <v>149.6</v>
      </c>
      <c r="F110">
        <v>102.87</v>
      </c>
      <c r="G110">
        <v>118.2</v>
      </c>
      <c r="H110">
        <v>125.4</v>
      </c>
      <c r="I110">
        <v>123.6</v>
      </c>
      <c r="J110">
        <v>75.7</v>
      </c>
      <c r="K110">
        <v>139.23364308124926</v>
      </c>
      <c r="L110">
        <v>100.7</v>
      </c>
      <c r="M110">
        <v>113.8</v>
      </c>
      <c r="N110">
        <v>131.6</v>
      </c>
      <c r="O110">
        <v>85.7</v>
      </c>
      <c r="P110">
        <v>115.9</v>
      </c>
      <c r="Q110">
        <v>105.1</v>
      </c>
      <c r="R110">
        <v>143.9</v>
      </c>
      <c r="S110">
        <v>110</v>
      </c>
      <c r="T110">
        <v>89.8</v>
      </c>
      <c r="U110">
        <v>107</v>
      </c>
      <c r="V110">
        <v>127.8</v>
      </c>
      <c r="W110">
        <v>114.2</v>
      </c>
      <c r="X110">
        <v>128.19999999999999</v>
      </c>
      <c r="Y110">
        <v>139.5</v>
      </c>
      <c r="Z110">
        <v>127.9</v>
      </c>
      <c r="AA110">
        <v>116.7</v>
      </c>
      <c r="AB110">
        <v>86.1</v>
      </c>
      <c r="AC110">
        <v>122.7</v>
      </c>
      <c r="AD110">
        <v>117.5</v>
      </c>
      <c r="AE110">
        <v>125.5</v>
      </c>
      <c r="AF110">
        <v>123.2</v>
      </c>
      <c r="AG110">
        <v>126.9</v>
      </c>
      <c r="AH110">
        <v>106.1</v>
      </c>
      <c r="AI110">
        <v>82.6</v>
      </c>
      <c r="AJ110">
        <v>130.1</v>
      </c>
      <c r="AK110">
        <v>90.3</v>
      </c>
      <c r="AL110">
        <v>79.599999999999994</v>
      </c>
      <c r="AM110">
        <v>117.6</v>
      </c>
      <c r="AN110">
        <v>107.1</v>
      </c>
      <c r="AP110" s="107"/>
    </row>
    <row r="111" spans="1:42">
      <c r="A111" s="106" cm="1">
        <f t="array" ref="A111:AN111">INDEX(INDICES,MATCH(EDATE(A110,1),'INDICES PRIX'!A:A,0),)</f>
        <v>45992</v>
      </c>
      <c r="B111">
        <v>125.5</v>
      </c>
      <c r="C111">
        <v>141.80000000000001</v>
      </c>
      <c r="D111">
        <v>137.4</v>
      </c>
      <c r="E111">
        <v>136.69999999999999</v>
      </c>
      <c r="F111">
        <v>98.39</v>
      </c>
      <c r="G111">
        <v>119.7</v>
      </c>
      <c r="H111">
        <v>125.4</v>
      </c>
      <c r="I111">
        <v>146.19999999999999</v>
      </c>
      <c r="J111">
        <v>74.5</v>
      </c>
      <c r="K111">
        <v>125.53</v>
      </c>
      <c r="L111">
        <v>99.8</v>
      </c>
      <c r="M111">
        <v>113.8</v>
      </c>
      <c r="N111">
        <v>131.19999999999999</v>
      </c>
      <c r="O111">
        <v>85.6</v>
      </c>
      <c r="P111">
        <v>116.6</v>
      </c>
      <c r="Q111">
        <v>104.8</v>
      </c>
      <c r="R111">
        <v>143.80000000000001</v>
      </c>
      <c r="S111">
        <v>109.5</v>
      </c>
      <c r="T111">
        <v>89.6</v>
      </c>
      <c r="U111">
        <v>101.7</v>
      </c>
      <c r="V111">
        <v>127.2</v>
      </c>
      <c r="W111">
        <v>112.1</v>
      </c>
      <c r="X111">
        <v>127.5</v>
      </c>
      <c r="Y111">
        <v>138.1</v>
      </c>
      <c r="Z111">
        <v>127.1</v>
      </c>
      <c r="AA111">
        <v>117</v>
      </c>
      <c r="AB111">
        <v>84.7</v>
      </c>
      <c r="AC111">
        <v>122.7</v>
      </c>
      <c r="AD111">
        <v>117.8</v>
      </c>
      <c r="AE111">
        <v>126.3</v>
      </c>
      <c r="AF111">
        <v>123.8</v>
      </c>
      <c r="AG111">
        <v>127.6</v>
      </c>
      <c r="AH111">
        <v>103.3</v>
      </c>
      <c r="AI111">
        <v>82.8</v>
      </c>
      <c r="AJ111">
        <v>132.4</v>
      </c>
      <c r="AK111">
        <v>91.2</v>
      </c>
      <c r="AL111">
        <v>81.099999999999994</v>
      </c>
      <c r="AM111">
        <v>117.6</v>
      </c>
      <c r="AN111">
        <v>107.9</v>
      </c>
      <c r="AP111" s="107"/>
    </row>
    <row r="112" spans="1:42">
      <c r="A112" s="106" cm="1">
        <f t="array" ref="A112:AN112">INDEX(INDICES,MATCH(EDATE(A111,1),'INDICES PRIX'!A:A,0),)</f>
        <v>46023</v>
      </c>
      <c r="B112">
        <v>127.6</v>
      </c>
      <c r="C112">
        <v>142.19999999999999</v>
      </c>
      <c r="D112">
        <v>137.6</v>
      </c>
      <c r="E112">
        <v>159</v>
      </c>
      <c r="F112">
        <v>100.91</v>
      </c>
      <c r="G112">
        <v>118</v>
      </c>
      <c r="H112">
        <v>125.7</v>
      </c>
      <c r="I112">
        <v>155.80000000000001</v>
      </c>
      <c r="J112">
        <v>71.400000000000006</v>
      </c>
      <c r="K112">
        <v>133.73804474216251</v>
      </c>
      <c r="L112">
        <v>100.1</v>
      </c>
      <c r="M112">
        <v>114.3</v>
      </c>
      <c r="N112">
        <v>133.4</v>
      </c>
      <c r="O112">
        <v>85.4</v>
      </c>
      <c r="P112">
        <v>116.5</v>
      </c>
      <c r="Q112">
        <v>104.2</v>
      </c>
      <c r="R112">
        <v>150.1</v>
      </c>
      <c r="S112">
        <v>112.4</v>
      </c>
      <c r="T112">
        <v>90.2</v>
      </c>
      <c r="U112">
        <v>96</v>
      </c>
      <c r="V112">
        <v>126.8</v>
      </c>
      <c r="W112">
        <v>115.1</v>
      </c>
      <c r="X112">
        <v>127.5</v>
      </c>
      <c r="Y112">
        <v>139.6</v>
      </c>
      <c r="Z112">
        <v>130.4</v>
      </c>
      <c r="AA112">
        <v>118.1</v>
      </c>
      <c r="AB112">
        <v>83.8</v>
      </c>
      <c r="AC112">
        <v>124</v>
      </c>
      <c r="AD112">
        <v>118.8</v>
      </c>
      <c r="AE112">
        <v>134.4</v>
      </c>
      <c r="AF112">
        <v>128.80000000000001</v>
      </c>
      <c r="AG112">
        <v>135</v>
      </c>
      <c r="AH112">
        <v>104.9</v>
      </c>
      <c r="AI112">
        <v>82.1</v>
      </c>
      <c r="AJ112">
        <v>130.9</v>
      </c>
      <c r="AK112">
        <v>93</v>
      </c>
      <c r="AL112">
        <v>81.900000000000006</v>
      </c>
      <c r="AM112">
        <v>118.3</v>
      </c>
      <c r="AN112">
        <v>110.2</v>
      </c>
      <c r="AP112" s="107"/>
    </row>
    <row r="113" spans="1:42">
      <c r="A113" s="106" cm="1">
        <f t="array" ref="A113:AN113">INDEX(INDICES,MATCH(EDATE(A112,1),'INDICES PRIX'!A:A,0),)</f>
        <v>46054</v>
      </c>
      <c r="B113">
        <v>125.9</v>
      </c>
      <c r="C113">
        <v>142.6</v>
      </c>
      <c r="D113">
        <v>137.9</v>
      </c>
      <c r="E113">
        <v>162.4</v>
      </c>
      <c r="F113">
        <v>103.42</v>
      </c>
      <c r="G113">
        <v>119.2</v>
      </c>
      <c r="H113">
        <v>125.7</v>
      </c>
      <c r="I113">
        <v>147.1</v>
      </c>
      <c r="J113">
        <v>80.7</v>
      </c>
      <c r="K113">
        <v>139.37546497387086</v>
      </c>
      <c r="L113">
        <v>101.1</v>
      </c>
      <c r="M113">
        <v>114.4</v>
      </c>
      <c r="N113">
        <v>133.4</v>
      </c>
      <c r="O113">
        <v>85.9</v>
      </c>
      <c r="P113">
        <v>118.3</v>
      </c>
      <c r="Q113">
        <v>103.4</v>
      </c>
      <c r="R113">
        <v>148.9</v>
      </c>
      <c r="S113">
        <v>112</v>
      </c>
      <c r="T113">
        <v>91.3</v>
      </c>
      <c r="U113">
        <v>97.3</v>
      </c>
      <c r="V113">
        <v>128.4</v>
      </c>
      <c r="W113">
        <v>114.3</v>
      </c>
      <c r="X113">
        <v>128.9</v>
      </c>
      <c r="Y113">
        <v>141.69999999999999</v>
      </c>
      <c r="Z113">
        <v>130.9</v>
      </c>
      <c r="AA113">
        <v>118.1</v>
      </c>
      <c r="AB113">
        <v>84.3</v>
      </c>
      <c r="AC113">
        <v>124.7</v>
      </c>
      <c r="AD113">
        <v>119.2</v>
      </c>
      <c r="AE113">
        <v>137.9</v>
      </c>
      <c r="AF113">
        <v>128.69999999999999</v>
      </c>
      <c r="AG113">
        <v>136.80000000000001</v>
      </c>
      <c r="AH113">
        <v>106.6</v>
      </c>
      <c r="AI113">
        <v>82.1</v>
      </c>
      <c r="AJ113">
        <v>130.30000000000001</v>
      </c>
      <c r="AK113">
        <v>94.8</v>
      </c>
      <c r="AL113">
        <v>83.7</v>
      </c>
      <c r="AM113">
        <v>119.3</v>
      </c>
      <c r="AN113">
        <v>111.9</v>
      </c>
      <c r="AP113" s="107"/>
    </row>
    <row r="114" spans="1:42">
      <c r="A114" s="106" cm="1">
        <f t="array" ref="A114:AN114">INDEX(INDICES,MATCH(EDATE(A113,1),'INDICES PRIX'!A:A,0),)</f>
        <v>46082</v>
      </c>
      <c r="B114">
        <v>126.5</v>
      </c>
      <c r="C114">
        <v>143</v>
      </c>
      <c r="D114">
        <v>138.19999999999999</v>
      </c>
      <c r="E114">
        <v>224.3</v>
      </c>
      <c r="F114">
        <v>126.08</v>
      </c>
      <c r="G114">
        <v>119.2</v>
      </c>
      <c r="H114">
        <v>125.7</v>
      </c>
      <c r="I114">
        <v>140.30000000000001</v>
      </c>
      <c r="J114">
        <v>93.9</v>
      </c>
      <c r="K114">
        <v>197.64653510476802</v>
      </c>
      <c r="L114">
        <v>102</v>
      </c>
      <c r="M114">
        <v>114.4</v>
      </c>
      <c r="N114">
        <v>133.69999999999999</v>
      </c>
      <c r="O114">
        <v>87.6</v>
      </c>
      <c r="P114">
        <v>118.5</v>
      </c>
      <c r="Q114">
        <v>104.6</v>
      </c>
      <c r="R114">
        <v>148.9</v>
      </c>
      <c r="S114">
        <v>112</v>
      </c>
      <c r="T114">
        <v>91.3</v>
      </c>
      <c r="U114">
        <v>109</v>
      </c>
      <c r="V114">
        <v>122.7</v>
      </c>
      <c r="W114">
        <v>115.4</v>
      </c>
      <c r="X114">
        <v>131.30000000000001</v>
      </c>
      <c r="Y114">
        <v>140.4</v>
      </c>
      <c r="Z114">
        <v>130.9</v>
      </c>
      <c r="AA114">
        <v>118.4</v>
      </c>
      <c r="AB114">
        <v>90.2</v>
      </c>
      <c r="AC114">
        <v>127</v>
      </c>
      <c r="AD114">
        <v>117.8</v>
      </c>
      <c r="AE114">
        <v>137.9</v>
      </c>
      <c r="AF114">
        <v>127</v>
      </c>
      <c r="AG114">
        <v>133.5</v>
      </c>
      <c r="AH114">
        <v>107.1</v>
      </c>
      <c r="AI114">
        <v>82.9</v>
      </c>
      <c r="AJ114">
        <v>126.5</v>
      </c>
      <c r="AK114">
        <v>95.9</v>
      </c>
      <c r="AL114">
        <v>84.8</v>
      </c>
      <c r="AM114">
        <v>118.4</v>
      </c>
      <c r="AN114">
        <v>113.1</v>
      </c>
      <c r="AP114" s="107"/>
    </row>
    <row r="115" spans="1:42">
      <c r="A115" s="106" cm="1">
        <f t="array" ref="A115:AN115">INDEX(INDICES,MATCH(EDATE(A114,1),'INDICES PRIX'!A:A,0),)</f>
        <v>46113</v>
      </c>
      <c r="B115">
        <v>128.1</v>
      </c>
      <c r="C115">
        <v>143</v>
      </c>
      <c r="D115">
        <v>138.19999999999999</v>
      </c>
      <c r="E115">
        <v>230.3</v>
      </c>
      <c r="F115">
        <v>138.74</v>
      </c>
      <c r="G115">
        <v>121.4</v>
      </c>
      <c r="H115">
        <v>129.19999999999999</v>
      </c>
      <c r="I115">
        <v>124.4</v>
      </c>
      <c r="J115">
        <v>122.2</v>
      </c>
      <c r="K115">
        <v>223.06810935718863</v>
      </c>
      <c r="L115">
        <v>108</v>
      </c>
      <c r="M115">
        <v>114.6</v>
      </c>
      <c r="N115">
        <v>137.5</v>
      </c>
      <c r="O115">
        <v>91.3</v>
      </c>
      <c r="P115">
        <v>121</v>
      </c>
      <c r="Q115">
        <v>111.3</v>
      </c>
      <c r="R115">
        <v>149.1</v>
      </c>
      <c r="S115">
        <v>114.8</v>
      </c>
      <c r="T115">
        <v>91.3</v>
      </c>
      <c r="U115">
        <v>149.80000000000001</v>
      </c>
      <c r="V115">
        <v>123.7</v>
      </c>
      <c r="W115">
        <v>117.1</v>
      </c>
      <c r="X115">
        <v>130.5</v>
      </c>
      <c r="Y115">
        <v>140</v>
      </c>
      <c r="Z115">
        <v>130.9</v>
      </c>
      <c r="AA115">
        <v>118.7</v>
      </c>
      <c r="AB115">
        <v>119.6</v>
      </c>
      <c r="AC115">
        <v>124</v>
      </c>
      <c r="AD115">
        <v>118.2</v>
      </c>
      <c r="AE115">
        <v>137.9</v>
      </c>
      <c r="AF115">
        <v>133.4</v>
      </c>
      <c r="AG115">
        <v>144.80000000000001</v>
      </c>
      <c r="AH115">
        <v>107.2</v>
      </c>
      <c r="AI115">
        <v>83.5</v>
      </c>
      <c r="AJ115">
        <v>127.4</v>
      </c>
      <c r="AK115">
        <v>99.9</v>
      </c>
      <c r="AL115">
        <v>87.3</v>
      </c>
      <c r="AM115">
        <v>119</v>
      </c>
      <c r="AN115">
        <v>115.1</v>
      </c>
      <c r="AP115" s="107"/>
    </row>
    <row r="116" spans="1:42">
      <c r="A116" s="108" cm="1">
        <f t="array" ref="A116:AN116">INDEX(INDICES,MATCH(EDATE(A115,1),'INDICES PRIX'!A:A,0),)</f>
        <v>46143</v>
      </c>
      <c r="B116" s="109">
        <v>127.8</v>
      </c>
      <c r="C116" s="109">
        <v>143</v>
      </c>
      <c r="D116" s="109">
        <v>138.19999999999999</v>
      </c>
      <c r="E116" s="109">
        <v>212.8</v>
      </c>
      <c r="F116" s="109">
        <v>131.69999999999999</v>
      </c>
      <c r="G116" s="109">
        <v>120.7</v>
      </c>
      <c r="H116" s="109">
        <v>129.19999999999999</v>
      </c>
      <c r="I116" s="109">
        <v>109.7</v>
      </c>
      <c r="J116" s="109">
        <v>109.8</v>
      </c>
      <c r="K116" s="109">
        <v>205.64174430131035</v>
      </c>
      <c r="L116" s="109">
        <v>119.5</v>
      </c>
      <c r="M116" s="109">
        <v>114.6</v>
      </c>
      <c r="N116" s="109">
        <v>136.5</v>
      </c>
      <c r="O116" s="109">
        <v>95.4</v>
      </c>
      <c r="P116" s="109">
        <v>120</v>
      </c>
      <c r="Q116" s="109">
        <v>120.4</v>
      </c>
      <c r="R116" s="109">
        <v>151.4</v>
      </c>
      <c r="S116" s="109">
        <v>118.6</v>
      </c>
      <c r="T116" s="109">
        <v>91.3</v>
      </c>
      <c r="U116" s="109">
        <v>149.4</v>
      </c>
      <c r="V116" s="109">
        <v>123</v>
      </c>
      <c r="W116" s="109">
        <v>117.5</v>
      </c>
      <c r="X116" s="109">
        <v>131.69999999999999</v>
      </c>
      <c r="Y116" s="109">
        <v>141.69999999999999</v>
      </c>
      <c r="Z116" s="109">
        <v>130.9</v>
      </c>
      <c r="AA116" s="109">
        <v>119.2</v>
      </c>
      <c r="AB116" s="109">
        <v>121.9</v>
      </c>
      <c r="AC116" s="109">
        <v>125.8</v>
      </c>
      <c r="AD116" s="109">
        <v>118.4</v>
      </c>
      <c r="AE116" s="109">
        <v>137.9</v>
      </c>
      <c r="AF116" s="109">
        <v>133.6</v>
      </c>
      <c r="AG116" s="109">
        <v>144.80000000000001</v>
      </c>
      <c r="AH116" s="109">
        <v>106.8</v>
      </c>
      <c r="AI116" s="109">
        <v>84</v>
      </c>
      <c r="AJ116" s="109">
        <v>129.4</v>
      </c>
      <c r="AK116" s="109">
        <v>101.3</v>
      </c>
      <c r="AL116" s="109">
        <v>89.3</v>
      </c>
      <c r="AM116" s="109">
        <v>119.2</v>
      </c>
      <c r="AN116" s="109">
        <v>116.9</v>
      </c>
      <c r="AO116" s="109"/>
      <c r="AP116" s="110"/>
    </row>
    <row r="117" spans="1:42">
      <c r="A117" s="95" t="s">
        <v>198</v>
      </c>
      <c r="B117">
        <f t="shared" ref="B117:AP117" si="6">SUM(B105:B116)</f>
        <v>1521</v>
      </c>
      <c r="C117">
        <f t="shared" si="6"/>
        <v>1693.8</v>
      </c>
      <c r="D117">
        <f t="shared" si="6"/>
        <v>1646.0000000000002</v>
      </c>
      <c r="E117">
        <f t="shared" si="6"/>
        <v>1998.1</v>
      </c>
      <c r="F117">
        <f t="shared" si="6"/>
        <v>1297.51</v>
      </c>
      <c r="G117">
        <f t="shared" si="6"/>
        <v>1435.4000000000003</v>
      </c>
      <c r="H117">
        <f t="shared" si="6"/>
        <v>1513.1000000000001</v>
      </c>
      <c r="I117">
        <f t="shared" si="6"/>
        <v>1465.8</v>
      </c>
      <c r="J117">
        <f t="shared" si="6"/>
        <v>1038</v>
      </c>
      <c r="K117">
        <f t="shared" si="6"/>
        <v>1810.6552919314056</v>
      </c>
      <c r="L117">
        <f t="shared" si="6"/>
        <v>1240.4000000000001</v>
      </c>
      <c r="M117">
        <f t="shared" si="6"/>
        <v>1365.7999999999997</v>
      </c>
      <c r="N117">
        <f t="shared" si="6"/>
        <v>1595.0000000000002</v>
      </c>
      <c r="O117">
        <f t="shared" si="6"/>
        <v>1056.8</v>
      </c>
      <c r="P117">
        <f t="shared" si="6"/>
        <v>1405.8</v>
      </c>
      <c r="Q117">
        <f t="shared" si="6"/>
        <v>1287.8</v>
      </c>
      <c r="R117">
        <f t="shared" si="6"/>
        <v>1755.4</v>
      </c>
      <c r="S117">
        <f t="shared" si="6"/>
        <v>1332.4999999999998</v>
      </c>
      <c r="T117">
        <f t="shared" si="6"/>
        <v>1093.3999999999999</v>
      </c>
      <c r="U117">
        <f t="shared" si="6"/>
        <v>1374.9</v>
      </c>
      <c r="V117">
        <f t="shared" si="6"/>
        <v>1538.7</v>
      </c>
      <c r="W117">
        <f t="shared" si="6"/>
        <v>1377.8000000000002</v>
      </c>
      <c r="X117">
        <f t="shared" si="6"/>
        <v>1550.2</v>
      </c>
      <c r="Y117">
        <f t="shared" si="6"/>
        <v>1679.8000000000002</v>
      </c>
      <c r="Z117">
        <f t="shared" si="6"/>
        <v>1551.4000000000005</v>
      </c>
      <c r="AA117">
        <f t="shared" si="6"/>
        <v>1409.4000000000003</v>
      </c>
      <c r="AB117">
        <f t="shared" si="6"/>
        <v>1119</v>
      </c>
      <c r="AC117">
        <f t="shared" si="6"/>
        <v>1477.1</v>
      </c>
      <c r="AD117">
        <f t="shared" si="6"/>
        <v>1422.4</v>
      </c>
      <c r="AE117">
        <f t="shared" si="6"/>
        <v>1563.0000000000002</v>
      </c>
      <c r="AF117">
        <f t="shared" si="6"/>
        <v>1503.1000000000001</v>
      </c>
      <c r="AG117">
        <f t="shared" si="6"/>
        <v>1573.3999999999999</v>
      </c>
      <c r="AH117">
        <f t="shared" si="6"/>
        <v>1278.8999999999999</v>
      </c>
      <c r="AI117">
        <f t="shared" si="6"/>
        <v>993.6</v>
      </c>
      <c r="AJ117">
        <f t="shared" si="6"/>
        <v>1588.5000000000002</v>
      </c>
      <c r="AK117">
        <f t="shared" si="6"/>
        <v>1131.2</v>
      </c>
      <c r="AL117">
        <f t="shared" si="6"/>
        <v>989.89999999999986</v>
      </c>
      <c r="AM117">
        <f t="shared" si="6"/>
        <v>1421.3000000000002</v>
      </c>
      <c r="AN117">
        <f t="shared" si="6"/>
        <v>1321.7</v>
      </c>
      <c r="AO117">
        <f t="shared" si="6"/>
        <v>0</v>
      </c>
      <c r="AP117">
        <f t="shared" si="6"/>
        <v>0</v>
      </c>
    </row>
    <row r="119" spans="1:42">
      <c r="B119" s="242" t="str">
        <f>"CUMULS EN N-1 ("&amp;TEXT(EDATE(DATE4,-12),"aaaa")&amp;")"</f>
        <v>CUMULS EN N-1 (2025)</v>
      </c>
      <c r="C119" s="242"/>
      <c r="D119" s="242"/>
    </row>
    <row r="120" spans="1:42">
      <c r="A120" s="104" cm="1">
        <f t="array" ref="A120:AN120">INDEX(INDICES,MATCH(EDATE(DATE4,-23),'INDICES PRIX'!A:A,0),)</f>
        <v>45444</v>
      </c>
      <c r="B120" s="43">
        <v>125</v>
      </c>
      <c r="C120" s="43">
        <v>134</v>
      </c>
      <c r="D120" s="43">
        <v>132.6</v>
      </c>
      <c r="E120" s="43">
        <v>142.19999999999999</v>
      </c>
      <c r="F120" s="43">
        <v>104.4</v>
      </c>
      <c r="G120" s="43">
        <v>118.6</v>
      </c>
      <c r="H120" s="43">
        <v>123.4</v>
      </c>
      <c r="I120" s="43">
        <v>115.9</v>
      </c>
      <c r="J120" s="43">
        <v>79.400000000000006</v>
      </c>
      <c r="K120" s="43">
        <v>142.99192323572146</v>
      </c>
      <c r="L120" s="43">
        <v>104.7</v>
      </c>
      <c r="M120" s="43">
        <v>107.9</v>
      </c>
      <c r="N120" s="43">
        <v>128.5</v>
      </c>
      <c r="O120" s="43">
        <v>88.3</v>
      </c>
      <c r="P120" s="43">
        <v>114.7</v>
      </c>
      <c r="Q120" s="43">
        <v>109.3</v>
      </c>
      <c r="R120" s="43">
        <v>142.5</v>
      </c>
      <c r="S120" s="43">
        <v>109.2</v>
      </c>
      <c r="T120" s="43">
        <v>91.9</v>
      </c>
      <c r="U120" s="43">
        <v>128.80000000000001</v>
      </c>
      <c r="V120" s="43">
        <v>124.9</v>
      </c>
      <c r="W120" s="43">
        <v>115.1</v>
      </c>
      <c r="X120" s="43">
        <v>127.6</v>
      </c>
      <c r="Y120" s="43">
        <v>139.6</v>
      </c>
      <c r="Z120" s="43">
        <v>129.80000000000001</v>
      </c>
      <c r="AA120" s="43">
        <v>113.5</v>
      </c>
      <c r="AB120" s="43">
        <v>96.5</v>
      </c>
      <c r="AC120" s="43">
        <v>122.1</v>
      </c>
      <c r="AD120" s="43">
        <v>120.7</v>
      </c>
      <c r="AE120" s="43">
        <v>127.4</v>
      </c>
      <c r="AF120" s="43">
        <v>115</v>
      </c>
      <c r="AG120" s="43">
        <v>117.4</v>
      </c>
      <c r="AH120" s="43">
        <v>107</v>
      </c>
      <c r="AI120" s="43">
        <v>98.6</v>
      </c>
      <c r="AJ120" s="43">
        <v>133.1</v>
      </c>
      <c r="AK120" s="43">
        <v>96.9</v>
      </c>
      <c r="AL120" s="43">
        <v>86.6</v>
      </c>
      <c r="AM120" s="43">
        <v>115.3</v>
      </c>
      <c r="AN120" s="43">
        <v>113.2</v>
      </c>
      <c r="AO120" s="43"/>
      <c r="AP120" s="7"/>
    </row>
    <row r="121" spans="1:42">
      <c r="A121" s="106" cm="1">
        <f t="array" ref="A121:AN121">INDEX(INDICES,MATCH(EDATE(A120,1),'INDICES PRIX'!A:A,0),)</f>
        <v>45474</v>
      </c>
      <c r="B121">
        <v>125</v>
      </c>
      <c r="C121">
        <v>134.6</v>
      </c>
      <c r="D121">
        <v>132.9</v>
      </c>
      <c r="E121">
        <v>140</v>
      </c>
      <c r="F121">
        <v>105.53</v>
      </c>
      <c r="G121">
        <v>120.2</v>
      </c>
      <c r="H121">
        <v>124.2</v>
      </c>
      <c r="I121">
        <v>112.9</v>
      </c>
      <c r="J121">
        <v>82</v>
      </c>
      <c r="K121">
        <v>144.23286479616041</v>
      </c>
      <c r="L121">
        <v>104.7</v>
      </c>
      <c r="M121">
        <v>109.5</v>
      </c>
      <c r="N121">
        <v>128.6</v>
      </c>
      <c r="O121">
        <v>88.3</v>
      </c>
      <c r="P121">
        <v>114.4</v>
      </c>
      <c r="Q121">
        <v>107.9</v>
      </c>
      <c r="R121">
        <v>142.6</v>
      </c>
      <c r="S121">
        <v>107.9</v>
      </c>
      <c r="T121">
        <v>92</v>
      </c>
      <c r="U121">
        <v>132</v>
      </c>
      <c r="V121">
        <v>130.6</v>
      </c>
      <c r="W121">
        <v>113.7</v>
      </c>
      <c r="X121">
        <v>127.8</v>
      </c>
      <c r="Y121">
        <v>138.9</v>
      </c>
      <c r="Z121">
        <v>128.30000000000001</v>
      </c>
      <c r="AA121">
        <v>113.8</v>
      </c>
      <c r="AB121">
        <v>92.6</v>
      </c>
      <c r="AC121">
        <v>126.5</v>
      </c>
      <c r="AD121">
        <v>120.9</v>
      </c>
      <c r="AE121">
        <v>127.6</v>
      </c>
      <c r="AF121">
        <v>117.2</v>
      </c>
      <c r="AG121">
        <v>120.3</v>
      </c>
      <c r="AH121">
        <v>104.4</v>
      </c>
      <c r="AI121">
        <v>97.2</v>
      </c>
      <c r="AJ121">
        <v>136.9</v>
      </c>
      <c r="AK121">
        <v>96.2</v>
      </c>
      <c r="AL121">
        <v>85.2</v>
      </c>
      <c r="AM121">
        <v>114.8</v>
      </c>
      <c r="AN121">
        <v>112.1</v>
      </c>
      <c r="AP121" s="107"/>
    </row>
    <row r="122" spans="1:42">
      <c r="A122" s="106" cm="1">
        <f t="array" ref="A122:AN122">INDEX(INDICES,MATCH(EDATE(A121,1),'INDICES PRIX'!A:A,0),)</f>
        <v>45505</v>
      </c>
      <c r="B122">
        <v>125.4</v>
      </c>
      <c r="C122">
        <v>135.1</v>
      </c>
      <c r="D122">
        <v>133.19999999999999</v>
      </c>
      <c r="E122">
        <v>131.69999999999999</v>
      </c>
      <c r="F122">
        <v>101.84</v>
      </c>
      <c r="G122">
        <v>120.9</v>
      </c>
      <c r="H122">
        <v>124.2</v>
      </c>
      <c r="I122">
        <v>121.6</v>
      </c>
      <c r="J122">
        <v>82.9</v>
      </c>
      <c r="K122">
        <v>134.74852572709136</v>
      </c>
      <c r="L122">
        <v>103.5</v>
      </c>
      <c r="M122">
        <v>109.5</v>
      </c>
      <c r="N122">
        <v>129.19999999999999</v>
      </c>
      <c r="O122">
        <v>88.3</v>
      </c>
      <c r="P122">
        <v>115.3</v>
      </c>
      <c r="Q122">
        <v>107.5</v>
      </c>
      <c r="R122">
        <v>142.80000000000001</v>
      </c>
      <c r="S122">
        <v>108.8</v>
      </c>
      <c r="T122">
        <v>90.6</v>
      </c>
      <c r="U122">
        <v>132.69999999999999</v>
      </c>
      <c r="V122">
        <v>127.7</v>
      </c>
      <c r="W122">
        <v>117.1</v>
      </c>
      <c r="X122">
        <v>127.5</v>
      </c>
      <c r="Y122">
        <v>140.6</v>
      </c>
      <c r="Z122">
        <v>128.80000000000001</v>
      </c>
      <c r="AA122">
        <v>114.1</v>
      </c>
      <c r="AB122">
        <v>92.8</v>
      </c>
      <c r="AC122">
        <v>127.2</v>
      </c>
      <c r="AD122">
        <v>120.2</v>
      </c>
      <c r="AE122">
        <v>126.4</v>
      </c>
      <c r="AF122">
        <v>114.9</v>
      </c>
      <c r="AG122">
        <v>116.8</v>
      </c>
      <c r="AH122">
        <v>106.7</v>
      </c>
      <c r="AI122">
        <v>97.4</v>
      </c>
      <c r="AJ122">
        <v>136.69999999999999</v>
      </c>
      <c r="AK122">
        <v>94.5</v>
      </c>
      <c r="AL122">
        <v>86.7</v>
      </c>
      <c r="AM122">
        <v>115.3</v>
      </c>
      <c r="AN122">
        <v>112</v>
      </c>
      <c r="AP122" s="107"/>
    </row>
    <row r="123" spans="1:42">
      <c r="A123" s="106" cm="1">
        <f t="array" ref="A123:AN123">INDEX(INDICES,MATCH(EDATE(A122,1),'INDICES PRIX'!A:A,0),)</f>
        <v>45536</v>
      </c>
      <c r="B123">
        <v>125.3</v>
      </c>
      <c r="C123">
        <v>135.69999999999999</v>
      </c>
      <c r="D123">
        <v>133.6</v>
      </c>
      <c r="E123">
        <v>129.1</v>
      </c>
      <c r="F123">
        <v>98.38</v>
      </c>
      <c r="G123">
        <v>117.1</v>
      </c>
      <c r="H123">
        <v>124.2</v>
      </c>
      <c r="I123">
        <v>127.8</v>
      </c>
      <c r="J123">
        <v>91.3</v>
      </c>
      <c r="K123">
        <v>127.24969315472461</v>
      </c>
      <c r="L123">
        <v>103.4</v>
      </c>
      <c r="M123">
        <v>109.5</v>
      </c>
      <c r="N123">
        <v>128.1</v>
      </c>
      <c r="O123">
        <v>89.1</v>
      </c>
      <c r="P123">
        <v>114.8</v>
      </c>
      <c r="Q123">
        <v>108.1</v>
      </c>
      <c r="R123">
        <v>141.9</v>
      </c>
      <c r="S123">
        <v>103.6</v>
      </c>
      <c r="T123">
        <v>93.7</v>
      </c>
      <c r="U123">
        <v>121.5</v>
      </c>
      <c r="V123">
        <v>126</v>
      </c>
      <c r="W123">
        <v>115.5</v>
      </c>
      <c r="X123">
        <v>126.6</v>
      </c>
      <c r="Y123">
        <v>139.5</v>
      </c>
      <c r="Z123">
        <v>126.2</v>
      </c>
      <c r="AA123">
        <v>114.3</v>
      </c>
      <c r="AB123">
        <v>94.7</v>
      </c>
      <c r="AC123">
        <v>124.7</v>
      </c>
      <c r="AD123">
        <v>118.6</v>
      </c>
      <c r="AE123">
        <v>125.3</v>
      </c>
      <c r="AF123">
        <v>120.4</v>
      </c>
      <c r="AG123">
        <v>125.9</v>
      </c>
      <c r="AH123">
        <v>108</v>
      </c>
      <c r="AI123">
        <v>96.9</v>
      </c>
      <c r="AJ123">
        <v>133.69999999999999</v>
      </c>
      <c r="AK123">
        <v>95.4</v>
      </c>
      <c r="AL123">
        <v>84.1</v>
      </c>
      <c r="AM123">
        <v>115.1</v>
      </c>
      <c r="AN123">
        <v>111.7</v>
      </c>
      <c r="AP123" s="107"/>
    </row>
    <row r="124" spans="1:42">
      <c r="A124" s="106" cm="1">
        <f t="array" ref="A124:AN124">INDEX(INDICES,MATCH(EDATE(A123,1),'INDICES PRIX'!A:A,0),)</f>
        <v>45566</v>
      </c>
      <c r="B124">
        <v>125</v>
      </c>
      <c r="C124">
        <v>136.1</v>
      </c>
      <c r="D124">
        <v>133.80000000000001</v>
      </c>
      <c r="E124">
        <v>132.19999999999999</v>
      </c>
      <c r="F124">
        <v>99.27</v>
      </c>
      <c r="G124">
        <v>118</v>
      </c>
      <c r="H124">
        <v>124.1</v>
      </c>
      <c r="I124">
        <v>137.5</v>
      </c>
      <c r="J124">
        <v>90.1</v>
      </c>
      <c r="K124">
        <v>129.53657117324781</v>
      </c>
      <c r="L124">
        <v>103.1</v>
      </c>
      <c r="M124">
        <v>109.3</v>
      </c>
      <c r="N124">
        <v>128.19999999999999</v>
      </c>
      <c r="O124">
        <v>86.4</v>
      </c>
      <c r="P124">
        <v>114</v>
      </c>
      <c r="Q124">
        <v>108.8</v>
      </c>
      <c r="R124">
        <v>142.6</v>
      </c>
      <c r="S124">
        <v>104</v>
      </c>
      <c r="T124">
        <v>90.7</v>
      </c>
      <c r="U124">
        <v>114.1</v>
      </c>
      <c r="V124">
        <v>127.3</v>
      </c>
      <c r="W124">
        <v>116.5</v>
      </c>
      <c r="X124">
        <v>126.9</v>
      </c>
      <c r="Y124">
        <v>139.1</v>
      </c>
      <c r="Z124">
        <v>126.6</v>
      </c>
      <c r="AA124">
        <v>114.2</v>
      </c>
      <c r="AB124">
        <v>93.9</v>
      </c>
      <c r="AC124">
        <v>121.2</v>
      </c>
      <c r="AD124">
        <v>119</v>
      </c>
      <c r="AE124">
        <v>124.5</v>
      </c>
      <c r="AF124">
        <v>117.7</v>
      </c>
      <c r="AG124">
        <v>120.7</v>
      </c>
      <c r="AH124">
        <v>107</v>
      </c>
      <c r="AI124">
        <v>87.5</v>
      </c>
      <c r="AJ124">
        <v>138</v>
      </c>
      <c r="AK124">
        <v>94.6</v>
      </c>
      <c r="AL124">
        <v>85.3</v>
      </c>
      <c r="AM124">
        <v>115.2</v>
      </c>
      <c r="AN124">
        <v>108.8</v>
      </c>
      <c r="AP124" s="107"/>
    </row>
    <row r="125" spans="1:42">
      <c r="A125" s="106" cm="1">
        <f t="array" ref="A125:AN125">INDEX(INDICES,MATCH(EDATE(A124,1),'INDICES PRIX'!A:A,0),)</f>
        <v>45597</v>
      </c>
      <c r="B125">
        <v>124.8</v>
      </c>
      <c r="C125">
        <v>136.5</v>
      </c>
      <c r="D125">
        <v>134.1</v>
      </c>
      <c r="E125">
        <v>133.80000000000001</v>
      </c>
      <c r="F125">
        <v>100.25</v>
      </c>
      <c r="G125">
        <v>118.5</v>
      </c>
      <c r="H125">
        <v>124.1</v>
      </c>
      <c r="I125">
        <v>156.5</v>
      </c>
      <c r="J125">
        <v>103.1</v>
      </c>
      <c r="K125">
        <v>132.58574186461206</v>
      </c>
      <c r="L125">
        <v>102.9</v>
      </c>
      <c r="M125">
        <v>109.3</v>
      </c>
      <c r="N125">
        <v>127.7</v>
      </c>
      <c r="O125">
        <v>85.7</v>
      </c>
      <c r="P125">
        <v>113.9</v>
      </c>
      <c r="Q125">
        <v>107.5</v>
      </c>
      <c r="R125">
        <v>140.5</v>
      </c>
      <c r="S125">
        <v>106.2</v>
      </c>
      <c r="T125">
        <v>90.6</v>
      </c>
      <c r="U125">
        <v>128.6</v>
      </c>
      <c r="V125">
        <v>127.8</v>
      </c>
      <c r="W125">
        <v>114.4</v>
      </c>
      <c r="X125">
        <v>127.4</v>
      </c>
      <c r="Y125">
        <v>137.5</v>
      </c>
      <c r="Z125">
        <v>127.7</v>
      </c>
      <c r="AA125">
        <v>114.1</v>
      </c>
      <c r="AB125">
        <v>93.9</v>
      </c>
      <c r="AC125">
        <v>123.4</v>
      </c>
      <c r="AD125">
        <v>118.9</v>
      </c>
      <c r="AE125">
        <v>123.7</v>
      </c>
      <c r="AF125">
        <v>119.9</v>
      </c>
      <c r="AG125">
        <v>124.3</v>
      </c>
      <c r="AH125">
        <v>106.1</v>
      </c>
      <c r="AI125">
        <v>88.7</v>
      </c>
      <c r="AJ125">
        <v>135.69999999999999</v>
      </c>
      <c r="AK125">
        <v>94.2</v>
      </c>
      <c r="AL125">
        <v>83.3</v>
      </c>
      <c r="AM125">
        <v>115.2</v>
      </c>
      <c r="AN125">
        <v>108.8</v>
      </c>
      <c r="AP125" s="107"/>
    </row>
    <row r="126" spans="1:42">
      <c r="A126" s="106" cm="1">
        <f t="array" ref="A126:AN126">INDEX(INDICES,MATCH(EDATE(A125,1),'INDICES PRIX'!A:A,0),)</f>
        <v>45627</v>
      </c>
      <c r="B126">
        <v>124.9</v>
      </c>
      <c r="C126">
        <v>136.9</v>
      </c>
      <c r="D126">
        <v>134.30000000000001</v>
      </c>
      <c r="E126">
        <v>135.5</v>
      </c>
      <c r="F126">
        <v>101.49</v>
      </c>
      <c r="G126">
        <v>119.4</v>
      </c>
      <c r="H126">
        <v>124.1</v>
      </c>
      <c r="I126">
        <v>172.9</v>
      </c>
      <c r="J126">
        <v>111.3</v>
      </c>
      <c r="K126">
        <v>135.15626366837844</v>
      </c>
      <c r="L126">
        <v>102.7</v>
      </c>
      <c r="M126">
        <v>109.3</v>
      </c>
      <c r="N126">
        <v>128.1</v>
      </c>
      <c r="O126">
        <v>85.8</v>
      </c>
      <c r="P126">
        <v>114.4</v>
      </c>
      <c r="Q126">
        <v>108</v>
      </c>
      <c r="R126">
        <v>141.69999999999999</v>
      </c>
      <c r="S126">
        <v>109.5</v>
      </c>
      <c r="T126">
        <v>90.4</v>
      </c>
      <c r="U126">
        <v>122.2</v>
      </c>
      <c r="V126">
        <v>133.4</v>
      </c>
      <c r="W126">
        <v>113.3</v>
      </c>
      <c r="X126">
        <v>127.6</v>
      </c>
      <c r="Y126">
        <v>134.80000000000001</v>
      </c>
      <c r="Z126">
        <v>128.69999999999999</v>
      </c>
      <c r="AA126">
        <v>114.3</v>
      </c>
      <c r="AB126">
        <v>93</v>
      </c>
      <c r="AC126">
        <v>121.9</v>
      </c>
      <c r="AD126">
        <v>119.7</v>
      </c>
      <c r="AE126">
        <v>120.2</v>
      </c>
      <c r="AF126">
        <v>120.6</v>
      </c>
      <c r="AG126">
        <v>124.4</v>
      </c>
      <c r="AH126">
        <v>105.8</v>
      </c>
      <c r="AI126">
        <v>89.8</v>
      </c>
      <c r="AJ126">
        <v>136.9</v>
      </c>
      <c r="AK126">
        <v>94.2</v>
      </c>
      <c r="AL126">
        <v>83.4</v>
      </c>
      <c r="AM126">
        <v>115.6</v>
      </c>
      <c r="AN126">
        <v>107.4</v>
      </c>
      <c r="AP126" s="107"/>
    </row>
    <row r="127" spans="1:42">
      <c r="A127" s="106" cm="1">
        <f t="array" ref="A127:AN127">INDEX(INDICES,MATCH(EDATE(A126,1),'INDICES PRIX'!A:A,0),)</f>
        <v>45658</v>
      </c>
      <c r="B127">
        <v>124.3</v>
      </c>
      <c r="C127">
        <v>137.19999999999999</v>
      </c>
      <c r="D127">
        <v>134.6</v>
      </c>
      <c r="E127">
        <v>157.1</v>
      </c>
      <c r="F127">
        <v>104.75</v>
      </c>
      <c r="G127">
        <v>118</v>
      </c>
      <c r="H127">
        <v>123.5</v>
      </c>
      <c r="I127">
        <v>182.9</v>
      </c>
      <c r="J127">
        <v>115.1</v>
      </c>
      <c r="K127">
        <v>143.16999999999999</v>
      </c>
      <c r="L127">
        <v>102.1</v>
      </c>
      <c r="M127">
        <v>110.9</v>
      </c>
      <c r="N127">
        <v>131.19999999999999</v>
      </c>
      <c r="O127">
        <v>86.3</v>
      </c>
      <c r="P127">
        <v>116.8</v>
      </c>
      <c r="Q127">
        <v>107.1</v>
      </c>
      <c r="R127">
        <v>147.5</v>
      </c>
      <c r="S127">
        <v>118.1</v>
      </c>
      <c r="T127">
        <v>90.3</v>
      </c>
      <c r="U127">
        <v>124</v>
      </c>
      <c r="V127">
        <v>125.8</v>
      </c>
      <c r="W127">
        <v>115.4</v>
      </c>
      <c r="X127">
        <v>127.2</v>
      </c>
      <c r="Y127">
        <v>139.80000000000001</v>
      </c>
      <c r="Z127">
        <v>127.5</v>
      </c>
      <c r="AA127">
        <v>115.1</v>
      </c>
      <c r="AB127">
        <v>94.2</v>
      </c>
      <c r="AC127">
        <v>123.3</v>
      </c>
      <c r="AD127">
        <v>118.1</v>
      </c>
      <c r="AE127">
        <v>123.9</v>
      </c>
      <c r="AF127">
        <v>117.4</v>
      </c>
      <c r="AG127">
        <v>119.9</v>
      </c>
      <c r="AH127">
        <v>106.3</v>
      </c>
      <c r="AI127">
        <v>87.7</v>
      </c>
      <c r="AJ127">
        <v>134.4</v>
      </c>
      <c r="AK127">
        <v>92.7</v>
      </c>
      <c r="AL127">
        <v>80.400000000000006</v>
      </c>
      <c r="AM127">
        <v>118.1</v>
      </c>
      <c r="AN127">
        <v>109</v>
      </c>
      <c r="AP127" s="107"/>
    </row>
    <row r="128" spans="1:42">
      <c r="A128" s="106" cm="1">
        <f t="array" ref="A128:AN128">INDEX(INDICES,MATCH(EDATE(A127,1),'INDICES PRIX'!A:A,0),)</f>
        <v>45689</v>
      </c>
      <c r="B128">
        <v>124.8</v>
      </c>
      <c r="C128">
        <v>137.4</v>
      </c>
      <c r="D128">
        <v>134.9</v>
      </c>
      <c r="E128">
        <v>155.6</v>
      </c>
      <c r="F128">
        <v>104.6</v>
      </c>
      <c r="G128">
        <v>118.8</v>
      </c>
      <c r="H128">
        <v>123.5</v>
      </c>
      <c r="I128">
        <v>162.4</v>
      </c>
      <c r="J128">
        <v>113.8</v>
      </c>
      <c r="K128">
        <v>142.03</v>
      </c>
      <c r="L128">
        <v>101.2</v>
      </c>
      <c r="M128">
        <v>110.9</v>
      </c>
      <c r="N128">
        <v>130.19999999999999</v>
      </c>
      <c r="O128">
        <v>87.5</v>
      </c>
      <c r="P128">
        <v>116.7</v>
      </c>
      <c r="Q128">
        <v>107.2</v>
      </c>
      <c r="R128">
        <v>146.30000000000001</v>
      </c>
      <c r="S128">
        <v>118</v>
      </c>
      <c r="T128">
        <v>91.2</v>
      </c>
      <c r="U128">
        <v>129.19999999999999</v>
      </c>
      <c r="V128">
        <v>128.19999999999999</v>
      </c>
      <c r="W128">
        <v>116.3</v>
      </c>
      <c r="X128">
        <v>128.69999999999999</v>
      </c>
      <c r="Y128">
        <v>139.6</v>
      </c>
      <c r="Z128">
        <v>128.19999999999999</v>
      </c>
      <c r="AA128">
        <v>115</v>
      </c>
      <c r="AB128">
        <v>94.6</v>
      </c>
      <c r="AC128">
        <v>120.3</v>
      </c>
      <c r="AD128">
        <v>118.6</v>
      </c>
      <c r="AE128">
        <v>126.7</v>
      </c>
      <c r="AF128">
        <v>116.5</v>
      </c>
      <c r="AG128">
        <v>116.7</v>
      </c>
      <c r="AH128">
        <v>106.8</v>
      </c>
      <c r="AI128">
        <v>87.2</v>
      </c>
      <c r="AJ128">
        <v>135.4</v>
      </c>
      <c r="AK128">
        <v>94</v>
      </c>
      <c r="AL128">
        <v>80.7</v>
      </c>
      <c r="AM128">
        <v>118.3</v>
      </c>
      <c r="AN128">
        <v>109.6</v>
      </c>
      <c r="AP128" s="107"/>
    </row>
    <row r="129" spans="1:42">
      <c r="A129" s="106" cm="1">
        <f t="array" ref="A129:AN129">INDEX(INDICES,MATCH(EDATE(A128,1),'INDICES PRIX'!A:A,0),)</f>
        <v>45717</v>
      </c>
      <c r="B129">
        <v>124.5</v>
      </c>
      <c r="C129">
        <v>137.6</v>
      </c>
      <c r="D129">
        <v>135.19999999999999</v>
      </c>
      <c r="E129">
        <v>145.69999999999999</v>
      </c>
      <c r="F129">
        <v>101.29</v>
      </c>
      <c r="G129">
        <v>118.5</v>
      </c>
      <c r="H129">
        <v>123.5</v>
      </c>
      <c r="I129">
        <v>155.5</v>
      </c>
      <c r="J129">
        <v>114.6</v>
      </c>
      <c r="K129">
        <v>133.53</v>
      </c>
      <c r="L129">
        <v>101.2</v>
      </c>
      <c r="M129">
        <v>111</v>
      </c>
      <c r="N129">
        <v>130.1</v>
      </c>
      <c r="O129">
        <v>88.3</v>
      </c>
      <c r="P129">
        <v>116.3</v>
      </c>
      <c r="Q129">
        <v>106.9</v>
      </c>
      <c r="R129">
        <v>143.9</v>
      </c>
      <c r="S129">
        <v>113.5</v>
      </c>
      <c r="T129">
        <v>92.3</v>
      </c>
      <c r="U129">
        <v>128.9</v>
      </c>
      <c r="V129">
        <v>130.9</v>
      </c>
      <c r="W129">
        <v>113.9</v>
      </c>
      <c r="X129">
        <v>130.30000000000001</v>
      </c>
      <c r="Y129">
        <v>138.9</v>
      </c>
      <c r="Z129">
        <v>128.9</v>
      </c>
      <c r="AA129">
        <v>115</v>
      </c>
      <c r="AB129">
        <v>95</v>
      </c>
      <c r="AC129">
        <v>121.1</v>
      </c>
      <c r="AD129">
        <v>118.7</v>
      </c>
      <c r="AE129">
        <v>127.8</v>
      </c>
      <c r="AF129">
        <v>116.6</v>
      </c>
      <c r="AG129">
        <v>117.1</v>
      </c>
      <c r="AH129">
        <v>108.5</v>
      </c>
      <c r="AI129">
        <v>85.7</v>
      </c>
      <c r="AJ129">
        <v>136.1</v>
      </c>
      <c r="AK129">
        <v>94</v>
      </c>
      <c r="AL129">
        <v>82.2</v>
      </c>
      <c r="AM129">
        <v>118.4</v>
      </c>
      <c r="AN129">
        <v>110.9</v>
      </c>
      <c r="AP129" s="107"/>
    </row>
    <row r="130" spans="1:42">
      <c r="A130" s="106" cm="1">
        <f t="array" ref="A130:AN130">INDEX(INDICES,MATCH(EDATE(A129,1),'INDICES PRIX'!A:A,0),)</f>
        <v>45748</v>
      </c>
      <c r="B130">
        <v>126.2</v>
      </c>
      <c r="C130">
        <v>138</v>
      </c>
      <c r="D130">
        <v>135.4</v>
      </c>
      <c r="E130">
        <v>141</v>
      </c>
      <c r="F130">
        <v>97.24</v>
      </c>
      <c r="G130">
        <v>119.4</v>
      </c>
      <c r="H130">
        <v>125.5</v>
      </c>
      <c r="I130">
        <v>135.1</v>
      </c>
      <c r="J130">
        <v>93</v>
      </c>
      <c r="K130">
        <v>124.17</v>
      </c>
      <c r="L130">
        <v>100.9</v>
      </c>
      <c r="M130">
        <v>110.9</v>
      </c>
      <c r="N130">
        <v>131.5</v>
      </c>
      <c r="O130">
        <v>89.1</v>
      </c>
      <c r="P130">
        <v>116.9</v>
      </c>
      <c r="Q130">
        <v>107.4</v>
      </c>
      <c r="R130">
        <v>145.80000000000001</v>
      </c>
      <c r="S130">
        <v>114.6</v>
      </c>
      <c r="T130">
        <v>92.3</v>
      </c>
      <c r="U130">
        <v>124.6</v>
      </c>
      <c r="V130">
        <v>130.5</v>
      </c>
      <c r="W130">
        <v>114</v>
      </c>
      <c r="X130">
        <v>128.5</v>
      </c>
      <c r="Y130">
        <v>139.30000000000001</v>
      </c>
      <c r="Z130">
        <v>129.1</v>
      </c>
      <c r="AA130">
        <v>116.2</v>
      </c>
      <c r="AB130">
        <v>93.8</v>
      </c>
      <c r="AC130">
        <v>120.7</v>
      </c>
      <c r="AD130">
        <v>118.5</v>
      </c>
      <c r="AE130">
        <v>129.1</v>
      </c>
      <c r="AF130">
        <v>116.9</v>
      </c>
      <c r="AG130">
        <v>117</v>
      </c>
      <c r="AH130">
        <v>106.3</v>
      </c>
      <c r="AI130">
        <v>84.7</v>
      </c>
      <c r="AJ130">
        <v>135.1</v>
      </c>
      <c r="AK130">
        <v>95.1</v>
      </c>
      <c r="AL130">
        <v>82.2</v>
      </c>
      <c r="AM130">
        <v>118.1</v>
      </c>
      <c r="AN130">
        <v>111</v>
      </c>
      <c r="AP130" s="107"/>
    </row>
    <row r="131" spans="1:42">
      <c r="A131" s="108" cm="1">
        <f t="array" ref="A131:AN131">INDEX(INDICES,MATCH(EDATE(A130,1),'INDICES PRIX'!A:A,0),)</f>
        <v>45778</v>
      </c>
      <c r="B131" s="109">
        <v>126.4</v>
      </c>
      <c r="C131" s="109">
        <v>138.4</v>
      </c>
      <c r="D131" s="109">
        <v>135.6</v>
      </c>
      <c r="E131" s="109">
        <v>140</v>
      </c>
      <c r="F131" s="109">
        <v>95.45</v>
      </c>
      <c r="G131" s="109">
        <v>118.1</v>
      </c>
      <c r="H131" s="109">
        <v>125.5</v>
      </c>
      <c r="I131" s="109">
        <v>113.3</v>
      </c>
      <c r="J131" s="109">
        <v>84.1</v>
      </c>
      <c r="K131" s="109">
        <v>120.39</v>
      </c>
      <c r="L131" s="109">
        <v>101.6</v>
      </c>
      <c r="M131" s="109">
        <v>113.3</v>
      </c>
      <c r="N131" s="109">
        <v>131.69999999999999</v>
      </c>
      <c r="O131" s="109">
        <v>89.6</v>
      </c>
      <c r="P131" s="109">
        <v>116.2</v>
      </c>
      <c r="Q131" s="109">
        <v>108.2</v>
      </c>
      <c r="R131" s="109">
        <v>145.6</v>
      </c>
      <c r="S131" s="109">
        <v>111.1</v>
      </c>
      <c r="T131" s="109">
        <v>93.2</v>
      </c>
      <c r="U131" s="109">
        <v>116.6</v>
      </c>
      <c r="V131" s="109">
        <v>129.80000000000001</v>
      </c>
      <c r="W131" s="109">
        <v>114.7</v>
      </c>
      <c r="X131" s="109">
        <v>130.6</v>
      </c>
      <c r="Y131" s="109">
        <v>140</v>
      </c>
      <c r="Z131" s="109">
        <v>130.30000000000001</v>
      </c>
      <c r="AA131" s="109">
        <v>115.9</v>
      </c>
      <c r="AB131" s="109">
        <v>93.2</v>
      </c>
      <c r="AC131" s="109">
        <v>121</v>
      </c>
      <c r="AD131" s="109">
        <v>119</v>
      </c>
      <c r="AE131" s="109">
        <v>128.6</v>
      </c>
      <c r="AF131" s="109">
        <v>119.7</v>
      </c>
      <c r="AG131" s="109">
        <v>121.8</v>
      </c>
      <c r="AH131" s="109">
        <v>107.4</v>
      </c>
      <c r="AI131" s="109">
        <v>84.3</v>
      </c>
      <c r="AJ131" s="109">
        <v>135.9</v>
      </c>
      <c r="AK131" s="109">
        <v>94.4</v>
      </c>
      <c r="AL131" s="109">
        <v>83.1</v>
      </c>
      <c r="AM131" s="109">
        <v>118.7</v>
      </c>
      <c r="AN131" s="109">
        <v>109.9</v>
      </c>
      <c r="AO131" s="109"/>
      <c r="AP131" s="110"/>
    </row>
    <row r="132" spans="1:42">
      <c r="A132" s="95" t="s">
        <v>198</v>
      </c>
      <c r="B132">
        <f t="shared" ref="B132:AP132" si="7">SUM(B120:B131)</f>
        <v>1501.6000000000001</v>
      </c>
      <c r="C132">
        <f t="shared" si="7"/>
        <v>1637.5000000000002</v>
      </c>
      <c r="D132">
        <f t="shared" si="7"/>
        <v>1610.2</v>
      </c>
      <c r="E132">
        <f t="shared" si="7"/>
        <v>1683.8999999999999</v>
      </c>
      <c r="F132">
        <f t="shared" si="7"/>
        <v>1214.49</v>
      </c>
      <c r="G132">
        <f t="shared" si="7"/>
        <v>1425.5</v>
      </c>
      <c r="H132">
        <f t="shared" si="7"/>
        <v>1489.8000000000002</v>
      </c>
      <c r="I132">
        <f t="shared" si="7"/>
        <v>1694.3</v>
      </c>
      <c r="J132">
        <f t="shared" si="7"/>
        <v>1160.6999999999998</v>
      </c>
      <c r="K132">
        <f t="shared" si="7"/>
        <v>1609.7915836199363</v>
      </c>
      <c r="L132">
        <f t="shared" si="7"/>
        <v>1232</v>
      </c>
      <c r="M132">
        <f t="shared" si="7"/>
        <v>1321.3</v>
      </c>
      <c r="N132">
        <f t="shared" si="7"/>
        <v>1553.1</v>
      </c>
      <c r="O132">
        <f t="shared" si="7"/>
        <v>1052.6999999999998</v>
      </c>
      <c r="P132">
        <f t="shared" si="7"/>
        <v>1384.4</v>
      </c>
      <c r="Q132">
        <f t="shared" si="7"/>
        <v>1293.9000000000001</v>
      </c>
      <c r="R132">
        <f t="shared" si="7"/>
        <v>1723.7</v>
      </c>
      <c r="S132">
        <f t="shared" si="7"/>
        <v>1324.5</v>
      </c>
      <c r="T132">
        <f t="shared" si="7"/>
        <v>1099.1999999999998</v>
      </c>
      <c r="U132">
        <f t="shared" si="7"/>
        <v>1503.2</v>
      </c>
      <c r="V132">
        <f t="shared" si="7"/>
        <v>1542.8999999999999</v>
      </c>
      <c r="W132">
        <f t="shared" si="7"/>
        <v>1379.9</v>
      </c>
      <c r="X132">
        <f t="shared" si="7"/>
        <v>1536.6999999999998</v>
      </c>
      <c r="Y132">
        <f t="shared" si="7"/>
        <v>1667.6</v>
      </c>
      <c r="Z132">
        <f t="shared" si="7"/>
        <v>1540.1000000000001</v>
      </c>
      <c r="AA132">
        <f t="shared" si="7"/>
        <v>1375.5000000000002</v>
      </c>
      <c r="AB132">
        <f t="shared" si="7"/>
        <v>1128.2</v>
      </c>
      <c r="AC132">
        <f t="shared" si="7"/>
        <v>1473.3999999999999</v>
      </c>
      <c r="AD132">
        <f t="shared" si="7"/>
        <v>1430.9</v>
      </c>
      <c r="AE132">
        <f t="shared" si="7"/>
        <v>1511.1999999999998</v>
      </c>
      <c r="AF132">
        <f t="shared" si="7"/>
        <v>1412.8</v>
      </c>
      <c r="AG132">
        <f t="shared" si="7"/>
        <v>1442.2999999999997</v>
      </c>
      <c r="AH132">
        <f t="shared" si="7"/>
        <v>1280.3</v>
      </c>
      <c r="AI132">
        <f t="shared" si="7"/>
        <v>1085.7000000000003</v>
      </c>
      <c r="AJ132">
        <f t="shared" si="7"/>
        <v>1627.8999999999999</v>
      </c>
      <c r="AK132">
        <f t="shared" si="7"/>
        <v>1136.2000000000003</v>
      </c>
      <c r="AL132">
        <f t="shared" si="7"/>
        <v>1003.2000000000002</v>
      </c>
      <c r="AM132">
        <f t="shared" si="7"/>
        <v>1398.1000000000001</v>
      </c>
      <c r="AN132">
        <f t="shared" si="7"/>
        <v>1324.4</v>
      </c>
      <c r="AO132">
        <f t="shared" si="7"/>
        <v>0</v>
      </c>
      <c r="AP132">
        <f t="shared" si="7"/>
        <v>0</v>
      </c>
    </row>
    <row r="134" spans="1:42">
      <c r="B134" s="242" t="str">
        <f>"CUMULS EN N-2 ("&amp;TEXT(EDATE(DATE4,-24),"aaaa")&amp;")"</f>
        <v>CUMULS EN N-2 (2024)</v>
      </c>
      <c r="C134" s="242"/>
      <c r="D134" s="242"/>
    </row>
    <row r="135" spans="1:42">
      <c r="A135" s="104" cm="1">
        <f t="array" ref="A135:AN135">INDEX(INDICES,MATCH(EDATE(DATE4,-35),'INDICES PRIX'!A:A,0),)</f>
        <v>45078</v>
      </c>
      <c r="B135" s="43">
        <v>122.3</v>
      </c>
      <c r="C135" s="43">
        <v>131.4</v>
      </c>
      <c r="D135" s="43">
        <v>129.19999999999999</v>
      </c>
      <c r="E135" s="43">
        <v>124.3</v>
      </c>
      <c r="F135" s="43">
        <v>104.01</v>
      </c>
      <c r="G135" s="43">
        <v>117.5</v>
      </c>
      <c r="H135" s="43">
        <v>118.7</v>
      </c>
      <c r="I135" s="43">
        <v>163.13610908205504</v>
      </c>
      <c r="J135" s="43">
        <v>76.953336283620985</v>
      </c>
      <c r="K135" s="43">
        <v>140.22639632960036</v>
      </c>
      <c r="L135" s="43">
        <v>115.50952339155621</v>
      </c>
      <c r="M135" s="43">
        <v>113.8</v>
      </c>
      <c r="N135" s="43">
        <v>128.40759541267153</v>
      </c>
      <c r="O135" s="43">
        <v>93.542120445046208</v>
      </c>
      <c r="P135" s="43">
        <v>114.70842540109521</v>
      </c>
      <c r="Q135" s="43">
        <v>114.96784424279799</v>
      </c>
      <c r="R135" s="43">
        <v>143.79271070615033</v>
      </c>
      <c r="S135" s="43">
        <v>118.95881279263551</v>
      </c>
      <c r="T135" s="43">
        <v>101.24291058284061</v>
      </c>
      <c r="U135" s="43">
        <v>117.94305351006382</v>
      </c>
      <c r="V135" s="43">
        <v>130.08946503560344</v>
      </c>
      <c r="W135" s="43">
        <v>115.49434333497295</v>
      </c>
      <c r="X135" s="43">
        <v>134.45797564384108</v>
      </c>
      <c r="Y135" s="43">
        <v>139.4769613947696</v>
      </c>
      <c r="Z135" s="43">
        <v>126.4387861876526</v>
      </c>
      <c r="AA135" s="43">
        <v>112.72627537026878</v>
      </c>
      <c r="AB135" s="43">
        <v>95.129894720896758</v>
      </c>
      <c r="AC135" s="43">
        <v>130.03392189266765</v>
      </c>
      <c r="AD135" s="43">
        <v>124.72689275197114</v>
      </c>
      <c r="AE135" s="43">
        <v>118.69693294056491</v>
      </c>
      <c r="AF135" s="43">
        <v>120.58684335068624</v>
      </c>
      <c r="AG135" s="43">
        <v>123.2</v>
      </c>
      <c r="AH135" s="43">
        <v>112.33639080696692</v>
      </c>
      <c r="AI135" s="43">
        <v>102.81186588076145</v>
      </c>
      <c r="AJ135" s="43">
        <v>140.81207704320667</v>
      </c>
      <c r="AK135" s="43">
        <v>104.21075676859083</v>
      </c>
      <c r="AL135" s="43">
        <v>95.965247153294285</v>
      </c>
      <c r="AM135" s="43">
        <v>111.27118644067798</v>
      </c>
      <c r="AN135" s="43">
        <v>105.53399696305044</v>
      </c>
      <c r="AO135" s="43"/>
      <c r="AP135" s="7"/>
    </row>
    <row r="136" spans="1:42">
      <c r="A136" s="106" cm="1">
        <f t="array" ref="A136:AN136">INDEX(INDICES,MATCH(EDATE(A135,1),'INDICES PRIX'!A:A,0),)</f>
        <v>45108</v>
      </c>
      <c r="B136">
        <v>122.9</v>
      </c>
      <c r="C136">
        <v>131.5</v>
      </c>
      <c r="D136">
        <v>129.5</v>
      </c>
      <c r="E136">
        <v>129.1</v>
      </c>
      <c r="F136">
        <v>104.89</v>
      </c>
      <c r="G136">
        <v>119.6</v>
      </c>
      <c r="H136">
        <v>119.1</v>
      </c>
      <c r="I136">
        <v>159.48380813245677</v>
      </c>
      <c r="J136">
        <v>76.461621674779948</v>
      </c>
      <c r="K136">
        <v>143.22238381123148</v>
      </c>
      <c r="L136">
        <v>113.40296673395945</v>
      </c>
      <c r="M136">
        <v>110.8</v>
      </c>
      <c r="N136">
        <v>126.90355329949237</v>
      </c>
      <c r="O136">
        <v>89.421322187555191</v>
      </c>
      <c r="P136">
        <v>115.28484964934192</v>
      </c>
      <c r="Q136">
        <v>112.14870936481367</v>
      </c>
      <c r="R136">
        <v>141.32498101746393</v>
      </c>
      <c r="S136">
        <v>117.45099595270217</v>
      </c>
      <c r="T136">
        <v>95.69204778568843</v>
      </c>
      <c r="U136">
        <v>123.89543446244478</v>
      </c>
      <c r="V136">
        <v>133.01077232061348</v>
      </c>
      <c r="W136">
        <v>114.60895228726021</v>
      </c>
      <c r="X136">
        <v>131.86264723497703</v>
      </c>
      <c r="Y136">
        <v>139.4769613947696</v>
      </c>
      <c r="Z136">
        <v>124.69480292989186</v>
      </c>
      <c r="AA136">
        <v>112.72627537026878</v>
      </c>
      <c r="AB136">
        <v>89.752329016132691</v>
      </c>
      <c r="AC136">
        <v>130.64277637644602</v>
      </c>
      <c r="AD136">
        <v>124.91688040277383</v>
      </c>
      <c r="AE136">
        <v>117.65725177612201</v>
      </c>
      <c r="AF136">
        <v>111.50023663038334</v>
      </c>
      <c r="AG136">
        <v>110.21176470588235</v>
      </c>
      <c r="AH136">
        <v>109.03844171905595</v>
      </c>
      <c r="AI136">
        <v>101.55570586530099</v>
      </c>
      <c r="AJ136">
        <v>141.76644108971021</v>
      </c>
      <c r="AK136">
        <v>102.09443187623148</v>
      </c>
      <c r="AL136">
        <v>96.425985651286766</v>
      </c>
      <c r="AM136">
        <v>111.35593220338984</v>
      </c>
      <c r="AN136">
        <v>104.52168044541928</v>
      </c>
      <c r="AP136" s="107"/>
    </row>
    <row r="137" spans="1:42">
      <c r="A137" s="106" cm="1">
        <f t="array" ref="A137:AN137">INDEX(INDICES,MATCH(EDATE(A136,1),'INDICES PRIX'!A:A,0),)</f>
        <v>45139</v>
      </c>
      <c r="B137">
        <v>122.8</v>
      </c>
      <c r="C137">
        <v>131.6</v>
      </c>
      <c r="D137">
        <v>129.80000000000001</v>
      </c>
      <c r="E137">
        <v>143.19999999999999</v>
      </c>
      <c r="F137">
        <v>113.24</v>
      </c>
      <c r="G137">
        <v>119.3</v>
      </c>
      <c r="H137">
        <v>119.1</v>
      </c>
      <c r="I137">
        <v>157.53591429267104</v>
      </c>
      <c r="J137">
        <v>74.445591778531735</v>
      </c>
      <c r="K137">
        <v>161.6060466423055</v>
      </c>
      <c r="L137">
        <v>112.52523479329412</v>
      </c>
      <c r="M137">
        <v>110.5</v>
      </c>
      <c r="N137">
        <v>129.44162436548223</v>
      </c>
      <c r="O137">
        <v>87.419791605345253</v>
      </c>
      <c r="P137">
        <v>114.61235469305409</v>
      </c>
      <c r="Q137">
        <v>110.12245617126244</v>
      </c>
      <c r="R137">
        <v>140.47076689445709</v>
      </c>
      <c r="S137">
        <v>120.38727085151972</v>
      </c>
      <c r="T137">
        <v>93.881983830095322</v>
      </c>
      <c r="U137">
        <v>125.79774177712322</v>
      </c>
      <c r="V137">
        <v>129.54171991966408</v>
      </c>
      <c r="W137">
        <v>114.21544515494344</v>
      </c>
      <c r="X137">
        <v>131.5631862647235</v>
      </c>
      <c r="Y137">
        <v>139.18957754574194</v>
      </c>
      <c r="Z137">
        <v>126.35158702476457</v>
      </c>
      <c r="AA137">
        <v>113.36624611446332</v>
      </c>
      <c r="AB137">
        <v>92.478982049534196</v>
      </c>
      <c r="AC137">
        <v>133.68704879533792</v>
      </c>
      <c r="AD137">
        <v>125.29685570437923</v>
      </c>
      <c r="AE137">
        <v>115.5778894472362</v>
      </c>
      <c r="AF137">
        <v>114.05584477046852</v>
      </c>
      <c r="AG137">
        <v>114.54117647058824</v>
      </c>
      <c r="AH137">
        <v>106.15273626713388</v>
      </c>
      <c r="AI137">
        <v>102.2320997197797</v>
      </c>
      <c r="AJ137">
        <v>143.50164844698941</v>
      </c>
      <c r="AK137">
        <v>101.43764139239582</v>
      </c>
      <c r="AL137">
        <v>94.122293161324293</v>
      </c>
      <c r="AM137">
        <v>111.35593220338984</v>
      </c>
      <c r="AN137">
        <v>103.59372363759068</v>
      </c>
      <c r="AP137" s="107"/>
    </row>
    <row r="138" spans="1:42">
      <c r="A138" s="106" cm="1">
        <f t="array" ref="A138:AN138">INDEX(INDICES,MATCH(EDATE(A137,1),'INDICES PRIX'!A:A,0),)</f>
        <v>45170</v>
      </c>
      <c r="B138">
        <v>123.5</v>
      </c>
      <c r="C138">
        <v>131.69999999999999</v>
      </c>
      <c r="D138">
        <v>130.1</v>
      </c>
      <c r="E138">
        <v>151.1</v>
      </c>
      <c r="F138">
        <v>117.87</v>
      </c>
      <c r="G138">
        <v>117.2</v>
      </c>
      <c r="H138">
        <v>119.1</v>
      </c>
      <c r="I138">
        <v>168.41165489814139</v>
      </c>
      <c r="J138">
        <v>85.656684860107191</v>
      </c>
      <c r="K138">
        <v>173.39499146647546</v>
      </c>
      <c r="L138">
        <v>111.99859562889493</v>
      </c>
      <c r="M138">
        <v>110.5</v>
      </c>
      <c r="N138">
        <v>127.27956382778717</v>
      </c>
      <c r="O138">
        <v>86.360157767704706</v>
      </c>
      <c r="P138">
        <v>115.6691324815064</v>
      </c>
      <c r="Q138">
        <v>110.29865210113647</v>
      </c>
      <c r="R138">
        <v>140.09111617312072</v>
      </c>
      <c r="S138">
        <v>118.00650742004602</v>
      </c>
      <c r="T138">
        <v>94.304332086400393</v>
      </c>
      <c r="U138">
        <v>138.00932744231713</v>
      </c>
      <c r="V138">
        <v>128.99397480372468</v>
      </c>
      <c r="W138">
        <v>115.19921298573537</v>
      </c>
      <c r="X138">
        <v>130.0658814134558</v>
      </c>
      <c r="Y138">
        <v>139.18957754574194</v>
      </c>
      <c r="Z138">
        <v>126.4387861876526</v>
      </c>
      <c r="AA138">
        <v>113.36624611446332</v>
      </c>
      <c r="AB138">
        <v>93.993789290312804</v>
      </c>
      <c r="AC138">
        <v>134.38288249108464</v>
      </c>
      <c r="AD138">
        <v>124.72689275197114</v>
      </c>
      <c r="AE138">
        <v>118.09045226130655</v>
      </c>
      <c r="AF138">
        <v>115.00236630383341</v>
      </c>
      <c r="AG138">
        <v>116.04705882352941</v>
      </c>
      <c r="AH138">
        <v>108.83231990106151</v>
      </c>
      <c r="AI138">
        <v>102.61861049376752</v>
      </c>
      <c r="AJ138">
        <v>142.11348256116605</v>
      </c>
      <c r="AK138">
        <v>100.70787418813399</v>
      </c>
      <c r="AL138">
        <v>92.345158954781809</v>
      </c>
      <c r="AM138">
        <v>110.93220338983052</v>
      </c>
      <c r="AN138">
        <v>106.96811202969461</v>
      </c>
      <c r="AP138" s="107"/>
    </row>
    <row r="139" spans="1:42">
      <c r="A139" s="106" cm="1">
        <f t="array" ref="A139:AN139">INDEX(INDICES,MATCH(EDATE(A138,1),'INDICES PRIX'!A:A,0),)</f>
        <v>45200</v>
      </c>
      <c r="B139">
        <v>123.3</v>
      </c>
      <c r="C139">
        <v>131.9</v>
      </c>
      <c r="D139">
        <v>130.4</v>
      </c>
      <c r="E139">
        <v>146.5</v>
      </c>
      <c r="F139">
        <v>116.59</v>
      </c>
      <c r="G139">
        <v>118.1</v>
      </c>
      <c r="H139">
        <v>121.1</v>
      </c>
      <c r="I139">
        <v>170.3</v>
      </c>
      <c r="J139">
        <v>92.934061070954414</v>
      </c>
      <c r="K139">
        <v>168.14758143947654</v>
      </c>
      <c r="L139">
        <v>111.29641007636268</v>
      </c>
      <c r="M139">
        <v>109.3</v>
      </c>
      <c r="N139">
        <v>128.50159804474524</v>
      </c>
      <c r="O139">
        <v>86.831106139989402</v>
      </c>
      <c r="P139">
        <v>114.80449610913634</v>
      </c>
      <c r="Q139">
        <v>109.6819663465774</v>
      </c>
      <c r="R139">
        <v>139.90129081245254</v>
      </c>
      <c r="S139">
        <v>116.89548448535831</v>
      </c>
      <c r="T139">
        <v>92.313261735247977</v>
      </c>
      <c r="U139">
        <v>144.3912616593029</v>
      </c>
      <c r="V139">
        <v>129.90688333029033</v>
      </c>
      <c r="W139">
        <v>114.1</v>
      </c>
      <c r="X139">
        <v>129.9</v>
      </c>
      <c r="Y139">
        <v>139.6</v>
      </c>
      <c r="Z139">
        <v>125.6</v>
      </c>
      <c r="AA139">
        <v>113.3</v>
      </c>
      <c r="AB139">
        <v>95.8</v>
      </c>
      <c r="AC139">
        <v>127.9</v>
      </c>
      <c r="AD139">
        <v>124.3</v>
      </c>
      <c r="AE139">
        <v>115.1</v>
      </c>
      <c r="AF139">
        <v>113.9</v>
      </c>
      <c r="AG139">
        <v>113.9</v>
      </c>
      <c r="AH139">
        <v>110.1</v>
      </c>
      <c r="AI139">
        <v>103.2</v>
      </c>
      <c r="AJ139">
        <v>135.1</v>
      </c>
      <c r="AK139">
        <v>99.9</v>
      </c>
      <c r="AL139">
        <v>86.6</v>
      </c>
      <c r="AM139">
        <v>111.5</v>
      </c>
      <c r="AN139">
        <v>104.2</v>
      </c>
      <c r="AP139" s="107"/>
    </row>
    <row r="140" spans="1:42">
      <c r="A140" s="106" cm="1">
        <f t="array" ref="A140:AN140">INDEX(INDICES,MATCH(EDATE(A139,1),'INDICES PRIX'!A:A,0),)</f>
        <v>45231</v>
      </c>
      <c r="B140">
        <v>123</v>
      </c>
      <c r="C140">
        <v>132.1</v>
      </c>
      <c r="D140">
        <v>130.69999999999999</v>
      </c>
      <c r="E140">
        <v>139.4</v>
      </c>
      <c r="F140">
        <v>112.25</v>
      </c>
      <c r="G140">
        <v>116.8</v>
      </c>
      <c r="H140">
        <v>121.1</v>
      </c>
      <c r="I140">
        <v>204.4</v>
      </c>
      <c r="J140">
        <v>107.48881349264886</v>
      </c>
      <c r="K140">
        <v>159.30144088720465</v>
      </c>
      <c r="L140">
        <v>112.2</v>
      </c>
      <c r="M140">
        <v>109.2</v>
      </c>
      <c r="N140">
        <v>128.50159804474524</v>
      </c>
      <c r="O140">
        <v>88.3</v>
      </c>
      <c r="P140">
        <v>115.9</v>
      </c>
      <c r="Q140">
        <v>108.8</v>
      </c>
      <c r="R140">
        <v>139.5</v>
      </c>
      <c r="S140">
        <v>117.1</v>
      </c>
      <c r="T140">
        <v>93.4</v>
      </c>
      <c r="U140">
        <v>128.1</v>
      </c>
      <c r="V140">
        <v>129.19999999999999</v>
      </c>
      <c r="W140">
        <v>113.5</v>
      </c>
      <c r="X140">
        <v>130</v>
      </c>
      <c r="Y140">
        <v>138.19999999999999</v>
      </c>
      <c r="Z140">
        <v>126.7</v>
      </c>
      <c r="AA140">
        <v>113.1</v>
      </c>
      <c r="AB140">
        <v>94.9</v>
      </c>
      <c r="AC140">
        <v>127.3</v>
      </c>
      <c r="AD140">
        <v>123.4</v>
      </c>
      <c r="AE140">
        <v>115.9</v>
      </c>
      <c r="AF140">
        <v>117.3</v>
      </c>
      <c r="AG140">
        <v>119.1</v>
      </c>
      <c r="AH140">
        <v>109.2</v>
      </c>
      <c r="AI140">
        <v>101.9</v>
      </c>
      <c r="AJ140">
        <v>134.80000000000001</v>
      </c>
      <c r="AK140">
        <v>100</v>
      </c>
      <c r="AL140">
        <v>87.9</v>
      </c>
      <c r="AM140">
        <v>111.8</v>
      </c>
      <c r="AN140">
        <v>104.5</v>
      </c>
      <c r="AP140" s="107"/>
    </row>
    <row r="141" spans="1:42">
      <c r="A141" s="106" cm="1">
        <f t="array" ref="A141:AN141">INDEX(INDICES,MATCH(EDATE(A140,1),'INDICES PRIX'!A:A,0),)</f>
        <v>45261</v>
      </c>
      <c r="B141">
        <v>124.2</v>
      </c>
      <c r="C141">
        <v>132.30000000000001</v>
      </c>
      <c r="D141">
        <v>130.9</v>
      </c>
      <c r="E141">
        <v>132</v>
      </c>
      <c r="F141">
        <v>108.29</v>
      </c>
      <c r="G141">
        <v>117.9</v>
      </c>
      <c r="H141">
        <v>121.1</v>
      </c>
      <c r="I141">
        <v>224.9</v>
      </c>
      <c r="J141">
        <v>101.78492403009292</v>
      </c>
      <c r="K141">
        <v>150.73894412017594</v>
      </c>
      <c r="L141">
        <v>111.4</v>
      </c>
      <c r="M141">
        <v>109.2</v>
      </c>
      <c r="N141">
        <v>128.6</v>
      </c>
      <c r="O141">
        <v>89.3</v>
      </c>
      <c r="P141">
        <v>114.1</v>
      </c>
      <c r="Q141">
        <v>108.7</v>
      </c>
      <c r="R141">
        <v>138.80000000000001</v>
      </c>
      <c r="S141">
        <v>116.8</v>
      </c>
      <c r="T141">
        <v>93.2</v>
      </c>
      <c r="U141">
        <v>116.4</v>
      </c>
      <c r="V141">
        <v>129.6</v>
      </c>
      <c r="W141">
        <v>110.1</v>
      </c>
      <c r="X141">
        <v>129.1</v>
      </c>
      <c r="Y141">
        <v>135.6</v>
      </c>
      <c r="Z141">
        <v>128.6</v>
      </c>
      <c r="AA141">
        <v>112.9</v>
      </c>
      <c r="AB141">
        <v>95.1</v>
      </c>
      <c r="AC141">
        <v>126.2</v>
      </c>
      <c r="AD141">
        <v>123.5</v>
      </c>
      <c r="AE141">
        <v>116.1</v>
      </c>
      <c r="AF141">
        <v>116.1</v>
      </c>
      <c r="AG141">
        <v>117.6</v>
      </c>
      <c r="AH141">
        <v>107.8</v>
      </c>
      <c r="AI141">
        <v>101.8</v>
      </c>
      <c r="AJ141">
        <v>138.69999999999999</v>
      </c>
      <c r="AK141">
        <v>99.6</v>
      </c>
      <c r="AL141">
        <v>88.3</v>
      </c>
      <c r="AM141">
        <v>111.1</v>
      </c>
      <c r="AN141">
        <v>104.4</v>
      </c>
      <c r="AP141" s="107"/>
    </row>
    <row r="142" spans="1:42">
      <c r="A142" s="106" cm="1">
        <f t="array" ref="A142:AN142">INDEX(INDICES,MATCH(EDATE(A141,1),'INDICES PRIX'!A:A,0),)</f>
        <v>45292</v>
      </c>
      <c r="B142">
        <v>124</v>
      </c>
      <c r="C142">
        <v>132.5</v>
      </c>
      <c r="D142">
        <v>131.19999999999999</v>
      </c>
      <c r="E142">
        <v>146.30000000000001</v>
      </c>
      <c r="F142">
        <v>106.91</v>
      </c>
      <c r="G142">
        <v>116.8</v>
      </c>
      <c r="H142">
        <v>124</v>
      </c>
      <c r="I142">
        <v>209.3</v>
      </c>
      <c r="J142">
        <v>82.3</v>
      </c>
      <c r="K142">
        <v>148.45206610165278</v>
      </c>
      <c r="L142">
        <v>110</v>
      </c>
      <c r="M142">
        <v>106.9</v>
      </c>
      <c r="N142">
        <v>129.19999999999999</v>
      </c>
      <c r="O142">
        <v>90.3</v>
      </c>
      <c r="P142">
        <v>117.2</v>
      </c>
      <c r="Q142">
        <v>107.1</v>
      </c>
      <c r="R142">
        <v>145.4</v>
      </c>
      <c r="S142">
        <v>109.4</v>
      </c>
      <c r="T142">
        <v>93.2</v>
      </c>
      <c r="U142">
        <v>112.4</v>
      </c>
      <c r="V142">
        <v>129.5</v>
      </c>
      <c r="W142">
        <v>115.1</v>
      </c>
      <c r="X142">
        <v>128.19999999999999</v>
      </c>
      <c r="Y142">
        <v>138.4</v>
      </c>
      <c r="Z142">
        <v>128.4</v>
      </c>
      <c r="AA142">
        <v>112.8</v>
      </c>
      <c r="AB142">
        <v>92.3</v>
      </c>
      <c r="AC142">
        <v>127.5</v>
      </c>
      <c r="AD142">
        <v>123.2</v>
      </c>
      <c r="AE142">
        <v>118.6</v>
      </c>
      <c r="AF142">
        <v>115.9</v>
      </c>
      <c r="AG142">
        <v>117.1</v>
      </c>
      <c r="AH142">
        <v>106.4</v>
      </c>
      <c r="AI142">
        <v>100.4</v>
      </c>
      <c r="AJ142">
        <v>140.19999999999999</v>
      </c>
      <c r="AK142">
        <v>97.9</v>
      </c>
      <c r="AL142">
        <v>88.5</v>
      </c>
      <c r="AM142">
        <v>115.2</v>
      </c>
      <c r="AN142">
        <v>107.3</v>
      </c>
      <c r="AP142" s="107"/>
    </row>
    <row r="143" spans="1:42">
      <c r="A143" s="106" cm="1">
        <f t="array" ref="A143:AN143">INDEX(INDICES,MATCH(EDATE(A142,1),'INDICES PRIX'!A:A,0),)</f>
        <v>45323</v>
      </c>
      <c r="B143">
        <v>124.1</v>
      </c>
      <c r="C143">
        <v>132.69999999999999</v>
      </c>
      <c r="D143">
        <v>131.4</v>
      </c>
      <c r="E143">
        <v>152.9</v>
      </c>
      <c r="F143">
        <v>111.34</v>
      </c>
      <c r="G143">
        <v>117.8</v>
      </c>
      <c r="H143">
        <v>124</v>
      </c>
      <c r="I143">
        <v>193</v>
      </c>
      <c r="J143">
        <v>68.900000000000006</v>
      </c>
      <c r="K143">
        <v>159.28371315062699</v>
      </c>
      <c r="L143">
        <v>107.7</v>
      </c>
      <c r="M143">
        <v>106.9</v>
      </c>
      <c r="N143">
        <v>130.4</v>
      </c>
      <c r="O143">
        <v>91.2</v>
      </c>
      <c r="P143">
        <v>118.2</v>
      </c>
      <c r="Q143">
        <v>107.2</v>
      </c>
      <c r="R143">
        <v>144.5</v>
      </c>
      <c r="S143">
        <v>108.4</v>
      </c>
      <c r="T143">
        <v>95.4</v>
      </c>
      <c r="U143">
        <v>112.4</v>
      </c>
      <c r="V143">
        <v>124.4</v>
      </c>
      <c r="W143">
        <v>116.7</v>
      </c>
      <c r="X143">
        <v>129.1</v>
      </c>
      <c r="Y143">
        <v>138.6</v>
      </c>
      <c r="Z143">
        <v>126.6</v>
      </c>
      <c r="AA143">
        <v>112.5</v>
      </c>
      <c r="AB143">
        <v>93.5</v>
      </c>
      <c r="AC143">
        <v>125.1</v>
      </c>
      <c r="AD143">
        <v>122.2</v>
      </c>
      <c r="AE143">
        <v>116.3</v>
      </c>
      <c r="AF143">
        <v>118.7</v>
      </c>
      <c r="AG143">
        <v>121.8</v>
      </c>
      <c r="AH143">
        <v>108.7</v>
      </c>
      <c r="AI143">
        <v>100.2</v>
      </c>
      <c r="AJ143">
        <v>137.5</v>
      </c>
      <c r="AK143">
        <v>98.8</v>
      </c>
      <c r="AL143">
        <v>88.2</v>
      </c>
      <c r="AM143">
        <v>115.9</v>
      </c>
      <c r="AN143">
        <v>107.9</v>
      </c>
      <c r="AP143" s="107"/>
    </row>
    <row r="144" spans="1:42">
      <c r="A144" s="106" cm="1">
        <f t="array" ref="A144:AN144">INDEX(INDICES,MATCH(EDATE(A143,1),'INDICES PRIX'!A:A,0),)</f>
        <v>45352</v>
      </c>
      <c r="B144">
        <v>124.5</v>
      </c>
      <c r="C144">
        <v>132.9</v>
      </c>
      <c r="D144">
        <v>131.69999999999999</v>
      </c>
      <c r="E144">
        <v>149.80000000000001</v>
      </c>
      <c r="F144">
        <v>109.98</v>
      </c>
      <c r="G144">
        <v>117.4</v>
      </c>
      <c r="H144">
        <v>124</v>
      </c>
      <c r="I144">
        <v>185.9</v>
      </c>
      <c r="J144">
        <v>63.2</v>
      </c>
      <c r="K144">
        <v>155.41906657668858</v>
      </c>
      <c r="L144">
        <v>105.2</v>
      </c>
      <c r="M144">
        <v>106.9</v>
      </c>
      <c r="N144">
        <v>129.4</v>
      </c>
      <c r="O144">
        <v>90.7</v>
      </c>
      <c r="P144">
        <v>117.7</v>
      </c>
      <c r="Q144">
        <v>105.6</v>
      </c>
      <c r="R144">
        <v>144</v>
      </c>
      <c r="S144">
        <v>107.8</v>
      </c>
      <c r="T144">
        <v>95.1</v>
      </c>
      <c r="U144">
        <v>120.2</v>
      </c>
      <c r="V144">
        <v>129.19999999999999</v>
      </c>
      <c r="W144">
        <v>116.7</v>
      </c>
      <c r="X144">
        <v>126.9</v>
      </c>
      <c r="Y144">
        <v>138.4</v>
      </c>
      <c r="Z144">
        <v>130.4</v>
      </c>
      <c r="AA144">
        <v>113.1</v>
      </c>
      <c r="AB144">
        <v>96.2</v>
      </c>
      <c r="AC144">
        <v>124.8</v>
      </c>
      <c r="AD144">
        <v>122.2</v>
      </c>
      <c r="AE144">
        <v>119</v>
      </c>
      <c r="AF144">
        <v>117.1</v>
      </c>
      <c r="AG144">
        <v>119.6</v>
      </c>
      <c r="AH144">
        <v>108.3</v>
      </c>
      <c r="AI144">
        <v>99.9</v>
      </c>
      <c r="AJ144">
        <v>137.30000000000001</v>
      </c>
      <c r="AK144">
        <v>97.7</v>
      </c>
      <c r="AL144">
        <v>89.2</v>
      </c>
      <c r="AM144">
        <v>115.6</v>
      </c>
      <c r="AN144">
        <v>109.9</v>
      </c>
      <c r="AP144" s="107"/>
    </row>
    <row r="145" spans="1:42">
      <c r="A145" s="106" cm="1">
        <f t="array" ref="A145:AN145">INDEX(INDICES,MATCH(EDATE(A144,1),'INDICES PRIX'!A:A,0),)</f>
        <v>45383</v>
      </c>
      <c r="B145">
        <v>125</v>
      </c>
      <c r="C145">
        <v>133.30000000000001</v>
      </c>
      <c r="D145">
        <v>132</v>
      </c>
      <c r="E145">
        <v>147.9</v>
      </c>
      <c r="F145">
        <v>109.42</v>
      </c>
      <c r="G145">
        <v>118.2</v>
      </c>
      <c r="H145">
        <v>123.4</v>
      </c>
      <c r="I145">
        <v>165.3</v>
      </c>
      <c r="J145">
        <v>66.7</v>
      </c>
      <c r="K145">
        <v>154.33767464544894</v>
      </c>
      <c r="L145">
        <v>103.9</v>
      </c>
      <c r="M145">
        <v>107.7</v>
      </c>
      <c r="N145">
        <v>129.69999999999999</v>
      </c>
      <c r="O145">
        <v>89.2</v>
      </c>
      <c r="P145">
        <v>118.6</v>
      </c>
      <c r="Q145">
        <v>106.8</v>
      </c>
      <c r="R145">
        <v>143.9</v>
      </c>
      <c r="S145">
        <v>109.9</v>
      </c>
      <c r="T145">
        <v>91.9</v>
      </c>
      <c r="U145">
        <v>126.2</v>
      </c>
      <c r="V145">
        <v>128.1</v>
      </c>
      <c r="W145">
        <v>115.9</v>
      </c>
      <c r="X145">
        <v>127.6</v>
      </c>
      <c r="Y145">
        <v>137.30000000000001</v>
      </c>
      <c r="Z145">
        <v>130</v>
      </c>
      <c r="AA145">
        <v>113</v>
      </c>
      <c r="AB145">
        <v>98.8</v>
      </c>
      <c r="AC145">
        <v>122.3</v>
      </c>
      <c r="AD145">
        <v>121.5</v>
      </c>
      <c r="AE145">
        <v>122.9</v>
      </c>
      <c r="AF145">
        <v>114</v>
      </c>
      <c r="AG145">
        <v>115.6</v>
      </c>
      <c r="AH145">
        <v>105.7</v>
      </c>
      <c r="AI145">
        <v>100</v>
      </c>
      <c r="AJ145">
        <v>137.19999999999999</v>
      </c>
      <c r="AK145">
        <v>97</v>
      </c>
      <c r="AL145">
        <v>90</v>
      </c>
      <c r="AM145">
        <v>115.6</v>
      </c>
      <c r="AN145">
        <v>109.7</v>
      </c>
      <c r="AP145" s="107"/>
    </row>
    <row r="146" spans="1:42">
      <c r="A146" s="106" cm="1">
        <f t="array" ref="A146:AN146">INDEX(INDICES,MATCH(EDATE(A145,1),'INDICES PRIX'!A:A,0),)</f>
        <v>45413</v>
      </c>
      <c r="B146" s="109">
        <v>124.9</v>
      </c>
      <c r="C146" s="109">
        <v>133.69999999999999</v>
      </c>
      <c r="D146" s="109">
        <v>132.30000000000001</v>
      </c>
      <c r="E146" s="109">
        <v>141.19999999999999</v>
      </c>
      <c r="F146" s="109">
        <v>105.67</v>
      </c>
      <c r="G146" s="109">
        <v>118.3</v>
      </c>
      <c r="H146" s="109">
        <v>123.4</v>
      </c>
      <c r="I146" s="109">
        <v>125.8</v>
      </c>
      <c r="J146" s="109">
        <v>72.3</v>
      </c>
      <c r="K146" s="109">
        <v>144.88879104953529</v>
      </c>
      <c r="L146" s="109">
        <v>104.1</v>
      </c>
      <c r="M146" s="109">
        <v>107.7</v>
      </c>
      <c r="N146" s="109">
        <v>129</v>
      </c>
      <c r="O146" s="109">
        <v>89</v>
      </c>
      <c r="P146" s="109">
        <v>115.2</v>
      </c>
      <c r="Q146" s="109">
        <v>107.7</v>
      </c>
      <c r="R146" s="109">
        <v>143.6</v>
      </c>
      <c r="S146" s="109">
        <v>107.8</v>
      </c>
      <c r="T146" s="109">
        <v>92.7</v>
      </c>
      <c r="U146" s="109">
        <v>132.80000000000001</v>
      </c>
      <c r="V146" s="109">
        <v>130.80000000000001</v>
      </c>
      <c r="W146" s="109">
        <v>114.8</v>
      </c>
      <c r="X146" s="109">
        <v>128.80000000000001</v>
      </c>
      <c r="Y146" s="109">
        <v>139.6</v>
      </c>
      <c r="Z146" s="109">
        <v>129.80000000000001</v>
      </c>
      <c r="AA146" s="109">
        <v>113.5</v>
      </c>
      <c r="AB146" s="109">
        <v>98</v>
      </c>
      <c r="AC146" s="109">
        <v>124.8</v>
      </c>
      <c r="AD146" s="109">
        <v>122</v>
      </c>
      <c r="AE146" s="109">
        <v>124.7</v>
      </c>
      <c r="AF146" s="109">
        <v>117.5</v>
      </c>
      <c r="AG146" s="109">
        <v>120.7</v>
      </c>
      <c r="AH146" s="109">
        <v>107.4</v>
      </c>
      <c r="AI146" s="109">
        <v>98.4</v>
      </c>
      <c r="AJ146" s="109">
        <v>137.19999999999999</v>
      </c>
      <c r="AK146" s="109">
        <v>97</v>
      </c>
      <c r="AL146" s="109">
        <v>90</v>
      </c>
      <c r="AM146" s="109">
        <v>115.9</v>
      </c>
      <c r="AN146" s="109">
        <v>112</v>
      </c>
      <c r="AO146" s="109"/>
      <c r="AP146" s="110"/>
    </row>
    <row r="147" spans="1:42">
      <c r="A147" s="95" t="s">
        <v>198</v>
      </c>
      <c r="B147">
        <f t="shared" ref="B147:AP147" si="8">SUM(B135:B146)</f>
        <v>1484.5</v>
      </c>
      <c r="C147">
        <f t="shared" si="8"/>
        <v>1587.6000000000001</v>
      </c>
      <c r="D147">
        <f t="shared" si="8"/>
        <v>1569.2</v>
      </c>
      <c r="E147">
        <f t="shared" si="8"/>
        <v>1703.7</v>
      </c>
      <c r="F147">
        <f t="shared" si="8"/>
        <v>1320.46</v>
      </c>
      <c r="G147">
        <f t="shared" si="8"/>
        <v>1414.8999999999999</v>
      </c>
      <c r="H147">
        <f t="shared" si="8"/>
        <v>1458.1000000000004</v>
      </c>
      <c r="I147">
        <f t="shared" si="8"/>
        <v>2127.4674864053241</v>
      </c>
      <c r="J147">
        <f t="shared" si="8"/>
        <v>969.12503319073608</v>
      </c>
      <c r="K147">
        <f t="shared" si="8"/>
        <v>1859.0190962204224</v>
      </c>
      <c r="L147">
        <f t="shared" si="8"/>
        <v>1319.2327306240675</v>
      </c>
      <c r="M147">
        <f t="shared" si="8"/>
        <v>1309.4000000000001</v>
      </c>
      <c r="N147">
        <f t="shared" si="8"/>
        <v>1545.3355329949241</v>
      </c>
      <c r="O147">
        <f t="shared" si="8"/>
        <v>1071.574498145641</v>
      </c>
      <c r="P147">
        <f t="shared" si="8"/>
        <v>1391.9792583341341</v>
      </c>
      <c r="Q147">
        <f t="shared" si="8"/>
        <v>1309.119628226588</v>
      </c>
      <c r="R147">
        <f t="shared" si="8"/>
        <v>1705.2808656036448</v>
      </c>
      <c r="S147">
        <f t="shared" si="8"/>
        <v>1368.8990715022617</v>
      </c>
      <c r="T147">
        <f t="shared" si="8"/>
        <v>1132.3345360202729</v>
      </c>
      <c r="U147">
        <f t="shared" si="8"/>
        <v>1498.5368188512518</v>
      </c>
      <c r="V147">
        <f t="shared" si="8"/>
        <v>1552.342815409896</v>
      </c>
      <c r="W147">
        <f t="shared" si="8"/>
        <v>1376.417953762912</v>
      </c>
      <c r="X147">
        <f t="shared" si="8"/>
        <v>1557.5496905569973</v>
      </c>
      <c r="Y147">
        <f t="shared" si="8"/>
        <v>1663.033077881023</v>
      </c>
      <c r="Z147">
        <f t="shared" si="8"/>
        <v>1530.0239623299617</v>
      </c>
      <c r="AA147">
        <f t="shared" si="8"/>
        <v>1356.3850429694642</v>
      </c>
      <c r="AB147">
        <f t="shared" si="8"/>
        <v>1135.9549950768765</v>
      </c>
      <c r="AC147">
        <f t="shared" si="8"/>
        <v>1534.6466295555358</v>
      </c>
      <c r="AD147">
        <f t="shared" si="8"/>
        <v>1481.9675216110954</v>
      </c>
      <c r="AE147">
        <f t="shared" si="8"/>
        <v>1418.6225264252298</v>
      </c>
      <c r="AF147">
        <f t="shared" si="8"/>
        <v>1391.6452910553714</v>
      </c>
      <c r="AG147">
        <f t="shared" si="8"/>
        <v>1409.3999999999999</v>
      </c>
      <c r="AH147">
        <f t="shared" si="8"/>
        <v>1299.9598886942185</v>
      </c>
      <c r="AI147">
        <f t="shared" si="8"/>
        <v>1215.0182819596098</v>
      </c>
      <c r="AJ147">
        <f t="shared" si="8"/>
        <v>1666.1936491410725</v>
      </c>
      <c r="AK147">
        <f t="shared" si="8"/>
        <v>1196.3507042253523</v>
      </c>
      <c r="AL147">
        <f t="shared" si="8"/>
        <v>1087.558684920687</v>
      </c>
      <c r="AM147">
        <f t="shared" si="8"/>
        <v>1357.5152542372882</v>
      </c>
      <c r="AN147">
        <f t="shared" si="8"/>
        <v>1280.517513075755</v>
      </c>
      <c r="AO147">
        <f t="shared" si="8"/>
        <v>0</v>
      </c>
      <c r="AP147">
        <f t="shared" si="8"/>
        <v>0</v>
      </c>
    </row>
    <row r="149" spans="1:42" ht="18.75">
      <c r="B149" s="240" t="s">
        <v>250</v>
      </c>
      <c r="C149" s="240"/>
      <c r="D149" s="240"/>
      <c r="E149" s="240"/>
    </row>
    <row r="150" spans="1:42">
      <c r="B150" s="241" t="s">
        <v>39</v>
      </c>
      <c r="C150" s="241"/>
      <c r="D150" s="241"/>
    </row>
    <row r="151" spans="1:42">
      <c r="A151" s="104" cm="1">
        <f t="array" ref="A151:AN151">INDEX(INDICES,MATCH(EDATE(DATE3,-5),'INDICES PRIX'!A:A,0),)</f>
        <v>45992</v>
      </c>
      <c r="B151" s="6">
        <v>125.5</v>
      </c>
      <c r="C151" s="43">
        <v>141.80000000000001</v>
      </c>
      <c r="D151" s="43">
        <v>137.4</v>
      </c>
      <c r="E151" s="43">
        <v>136.69999999999999</v>
      </c>
      <c r="F151" s="43">
        <v>98.39</v>
      </c>
      <c r="G151" s="43">
        <v>119.7</v>
      </c>
      <c r="H151" s="43">
        <v>125.4</v>
      </c>
      <c r="I151" s="43">
        <v>146.19999999999999</v>
      </c>
      <c r="J151" s="43">
        <v>74.5</v>
      </c>
      <c r="K151" s="43">
        <v>125.53</v>
      </c>
      <c r="L151" s="43">
        <v>99.8</v>
      </c>
      <c r="M151" s="43">
        <v>113.8</v>
      </c>
      <c r="N151" s="43">
        <v>131.19999999999999</v>
      </c>
      <c r="O151" s="43">
        <v>85.6</v>
      </c>
      <c r="P151" s="43">
        <v>116.6</v>
      </c>
      <c r="Q151" s="43">
        <v>104.8</v>
      </c>
      <c r="R151" s="43">
        <v>143.80000000000001</v>
      </c>
      <c r="S151" s="43">
        <v>109.5</v>
      </c>
      <c r="T151" s="43">
        <v>89.6</v>
      </c>
      <c r="U151" s="43">
        <v>101.7</v>
      </c>
      <c r="V151" s="43">
        <v>127.2</v>
      </c>
      <c r="W151" s="43">
        <v>112.1</v>
      </c>
      <c r="X151" s="43">
        <v>127.5</v>
      </c>
      <c r="Y151" s="43">
        <v>138.1</v>
      </c>
      <c r="Z151" s="43">
        <v>127.1</v>
      </c>
      <c r="AA151" s="43">
        <v>117</v>
      </c>
      <c r="AB151" s="43">
        <v>84.7</v>
      </c>
      <c r="AC151" s="43">
        <v>122.7</v>
      </c>
      <c r="AD151" s="43">
        <v>117.8</v>
      </c>
      <c r="AE151" s="43">
        <v>126.3</v>
      </c>
      <c r="AF151" s="43">
        <v>123.8</v>
      </c>
      <c r="AG151" s="43">
        <v>127.6</v>
      </c>
      <c r="AH151" s="43">
        <v>103.3</v>
      </c>
      <c r="AI151" s="43">
        <v>82.8</v>
      </c>
      <c r="AJ151" s="43">
        <v>132.4</v>
      </c>
      <c r="AK151" s="43">
        <v>91.2</v>
      </c>
      <c r="AL151" s="43">
        <v>81.099999999999994</v>
      </c>
      <c r="AM151" s="43">
        <v>117.6</v>
      </c>
      <c r="AN151" s="43">
        <v>107.9</v>
      </c>
      <c r="AO151" s="43"/>
      <c r="AP151" s="7"/>
    </row>
    <row r="152" spans="1:42">
      <c r="A152" s="106" cm="1">
        <f t="array" ref="A152:AN152">INDEX(INDICES,MATCH(EDATE(A151,1),'INDICES PRIX'!A:A,0),)</f>
        <v>46023</v>
      </c>
      <c r="B152" s="112">
        <v>127.6</v>
      </c>
      <c r="C152">
        <v>142.19999999999999</v>
      </c>
      <c r="D152">
        <v>137.6</v>
      </c>
      <c r="E152">
        <v>159</v>
      </c>
      <c r="F152">
        <v>100.91</v>
      </c>
      <c r="G152">
        <v>118</v>
      </c>
      <c r="H152">
        <v>125.7</v>
      </c>
      <c r="I152">
        <v>155.80000000000001</v>
      </c>
      <c r="J152">
        <v>71.400000000000006</v>
      </c>
      <c r="K152">
        <v>133.73804474216251</v>
      </c>
      <c r="L152">
        <v>100.1</v>
      </c>
      <c r="M152">
        <v>114.3</v>
      </c>
      <c r="N152">
        <v>133.4</v>
      </c>
      <c r="O152">
        <v>85.4</v>
      </c>
      <c r="P152">
        <v>116.5</v>
      </c>
      <c r="Q152">
        <v>104.2</v>
      </c>
      <c r="R152">
        <v>150.1</v>
      </c>
      <c r="S152">
        <v>112.4</v>
      </c>
      <c r="T152">
        <v>90.2</v>
      </c>
      <c r="U152">
        <v>96</v>
      </c>
      <c r="V152">
        <v>126.8</v>
      </c>
      <c r="W152">
        <v>115.1</v>
      </c>
      <c r="X152">
        <v>127.5</v>
      </c>
      <c r="Y152">
        <v>139.6</v>
      </c>
      <c r="Z152">
        <v>130.4</v>
      </c>
      <c r="AA152">
        <v>118.1</v>
      </c>
      <c r="AB152">
        <v>83.8</v>
      </c>
      <c r="AC152">
        <v>124</v>
      </c>
      <c r="AD152">
        <v>118.8</v>
      </c>
      <c r="AE152">
        <v>134.4</v>
      </c>
      <c r="AF152">
        <v>128.80000000000001</v>
      </c>
      <c r="AG152">
        <v>135</v>
      </c>
      <c r="AH152">
        <v>104.9</v>
      </c>
      <c r="AI152">
        <v>82.1</v>
      </c>
      <c r="AJ152">
        <v>130.9</v>
      </c>
      <c r="AK152">
        <v>93</v>
      </c>
      <c r="AL152">
        <v>81.900000000000006</v>
      </c>
      <c r="AM152">
        <v>118.3</v>
      </c>
      <c r="AN152">
        <v>110.2</v>
      </c>
      <c r="AP152" s="107"/>
    </row>
    <row r="153" spans="1:42">
      <c r="A153" s="106" cm="1">
        <f t="array" ref="A153:AN153">INDEX(INDICES,MATCH(EDATE(A152,1),'INDICES PRIX'!A:A,0),)</f>
        <v>46054</v>
      </c>
      <c r="B153" s="112">
        <v>125.9</v>
      </c>
      <c r="C153">
        <v>142.6</v>
      </c>
      <c r="D153">
        <v>137.9</v>
      </c>
      <c r="E153">
        <v>162.4</v>
      </c>
      <c r="F153">
        <v>103.42</v>
      </c>
      <c r="G153">
        <v>119.2</v>
      </c>
      <c r="H153">
        <v>125.7</v>
      </c>
      <c r="I153">
        <v>147.1</v>
      </c>
      <c r="J153">
        <v>80.7</v>
      </c>
      <c r="K153">
        <v>139.37546497387086</v>
      </c>
      <c r="L153">
        <v>101.1</v>
      </c>
      <c r="M153">
        <v>114.4</v>
      </c>
      <c r="N153">
        <v>133.4</v>
      </c>
      <c r="O153">
        <v>85.9</v>
      </c>
      <c r="P153">
        <v>118.3</v>
      </c>
      <c r="Q153">
        <v>103.4</v>
      </c>
      <c r="R153">
        <v>148.9</v>
      </c>
      <c r="S153">
        <v>112</v>
      </c>
      <c r="T153">
        <v>91.3</v>
      </c>
      <c r="U153">
        <v>97.3</v>
      </c>
      <c r="V153">
        <v>128.4</v>
      </c>
      <c r="W153">
        <v>114.3</v>
      </c>
      <c r="X153">
        <v>128.9</v>
      </c>
      <c r="Y153">
        <v>141.69999999999999</v>
      </c>
      <c r="Z153">
        <v>130.9</v>
      </c>
      <c r="AA153">
        <v>118.1</v>
      </c>
      <c r="AB153">
        <v>84.3</v>
      </c>
      <c r="AC153">
        <v>124.7</v>
      </c>
      <c r="AD153">
        <v>119.2</v>
      </c>
      <c r="AE153">
        <v>137.9</v>
      </c>
      <c r="AF153">
        <v>128.69999999999999</v>
      </c>
      <c r="AG153">
        <v>136.80000000000001</v>
      </c>
      <c r="AH153">
        <v>106.6</v>
      </c>
      <c r="AI153">
        <v>82.1</v>
      </c>
      <c r="AJ153">
        <v>130.30000000000001</v>
      </c>
      <c r="AK153">
        <v>94.8</v>
      </c>
      <c r="AL153">
        <v>83.7</v>
      </c>
      <c r="AM153">
        <v>119.3</v>
      </c>
      <c r="AN153">
        <v>111.9</v>
      </c>
      <c r="AP153" s="107"/>
    </row>
    <row r="154" spans="1:42">
      <c r="A154" s="106" cm="1">
        <f t="array" ref="A154:AN154">INDEX(INDICES,MATCH(EDATE(A153,1),'INDICES PRIX'!A:A,0),)</f>
        <v>46082</v>
      </c>
      <c r="B154" s="112">
        <v>126.5</v>
      </c>
      <c r="C154">
        <v>143</v>
      </c>
      <c r="D154">
        <v>138.19999999999999</v>
      </c>
      <c r="E154">
        <v>224.3</v>
      </c>
      <c r="F154">
        <v>126.08</v>
      </c>
      <c r="G154">
        <v>119.2</v>
      </c>
      <c r="H154">
        <v>125.7</v>
      </c>
      <c r="I154">
        <v>140.30000000000001</v>
      </c>
      <c r="J154">
        <v>93.9</v>
      </c>
      <c r="K154">
        <v>197.64653510476802</v>
      </c>
      <c r="L154">
        <v>102</v>
      </c>
      <c r="M154">
        <v>114.4</v>
      </c>
      <c r="N154">
        <v>133.69999999999999</v>
      </c>
      <c r="O154">
        <v>87.6</v>
      </c>
      <c r="P154">
        <v>118.5</v>
      </c>
      <c r="Q154">
        <v>104.6</v>
      </c>
      <c r="R154">
        <v>148.9</v>
      </c>
      <c r="S154">
        <v>112</v>
      </c>
      <c r="T154">
        <v>91.3</v>
      </c>
      <c r="U154">
        <v>109</v>
      </c>
      <c r="V154">
        <v>122.7</v>
      </c>
      <c r="W154">
        <v>115.4</v>
      </c>
      <c r="X154">
        <v>131.30000000000001</v>
      </c>
      <c r="Y154">
        <v>140.4</v>
      </c>
      <c r="Z154">
        <v>130.9</v>
      </c>
      <c r="AA154">
        <v>118.4</v>
      </c>
      <c r="AB154">
        <v>90.2</v>
      </c>
      <c r="AC154">
        <v>127</v>
      </c>
      <c r="AD154">
        <v>117.8</v>
      </c>
      <c r="AE154">
        <v>137.9</v>
      </c>
      <c r="AF154">
        <v>127</v>
      </c>
      <c r="AG154">
        <v>133.5</v>
      </c>
      <c r="AH154">
        <v>107.1</v>
      </c>
      <c r="AI154">
        <v>82.9</v>
      </c>
      <c r="AJ154">
        <v>126.5</v>
      </c>
      <c r="AK154">
        <v>95.9</v>
      </c>
      <c r="AL154">
        <v>84.8</v>
      </c>
      <c r="AM154">
        <v>118.4</v>
      </c>
      <c r="AN154">
        <v>113.1</v>
      </c>
      <c r="AP154" s="107"/>
    </row>
    <row r="155" spans="1:42">
      <c r="A155" s="106" cm="1">
        <f t="array" ref="A155:AN155">INDEX(INDICES,MATCH(EDATE(A154,1),'INDICES PRIX'!A:A,0),)</f>
        <v>46113</v>
      </c>
      <c r="B155" s="112">
        <v>128.1</v>
      </c>
      <c r="C155">
        <v>143</v>
      </c>
      <c r="D155">
        <v>138.19999999999999</v>
      </c>
      <c r="E155">
        <v>230.3</v>
      </c>
      <c r="F155">
        <v>138.74</v>
      </c>
      <c r="G155">
        <v>121.4</v>
      </c>
      <c r="H155">
        <v>129.19999999999999</v>
      </c>
      <c r="I155">
        <v>124.4</v>
      </c>
      <c r="J155">
        <v>122.2</v>
      </c>
      <c r="K155">
        <v>223.06810935718863</v>
      </c>
      <c r="L155">
        <v>108</v>
      </c>
      <c r="M155">
        <v>114.6</v>
      </c>
      <c r="N155">
        <v>137.5</v>
      </c>
      <c r="O155">
        <v>91.3</v>
      </c>
      <c r="P155">
        <v>121</v>
      </c>
      <c r="Q155">
        <v>111.3</v>
      </c>
      <c r="R155">
        <v>149.1</v>
      </c>
      <c r="S155">
        <v>114.8</v>
      </c>
      <c r="T155">
        <v>91.3</v>
      </c>
      <c r="U155">
        <v>149.80000000000001</v>
      </c>
      <c r="V155">
        <v>123.7</v>
      </c>
      <c r="W155">
        <v>117.1</v>
      </c>
      <c r="X155">
        <v>130.5</v>
      </c>
      <c r="Y155">
        <v>140</v>
      </c>
      <c r="Z155">
        <v>130.9</v>
      </c>
      <c r="AA155">
        <v>118.7</v>
      </c>
      <c r="AB155">
        <v>119.6</v>
      </c>
      <c r="AC155">
        <v>124</v>
      </c>
      <c r="AD155">
        <v>118.2</v>
      </c>
      <c r="AE155">
        <v>137.9</v>
      </c>
      <c r="AF155">
        <v>133.4</v>
      </c>
      <c r="AG155">
        <v>144.80000000000001</v>
      </c>
      <c r="AH155">
        <v>107.2</v>
      </c>
      <c r="AI155">
        <v>83.5</v>
      </c>
      <c r="AJ155">
        <v>127.4</v>
      </c>
      <c r="AK155">
        <v>99.9</v>
      </c>
      <c r="AL155">
        <v>87.3</v>
      </c>
      <c r="AM155">
        <v>119</v>
      </c>
      <c r="AN155">
        <v>115.1</v>
      </c>
      <c r="AP155" s="107"/>
    </row>
    <row r="156" spans="1:42">
      <c r="A156" s="108" cm="1">
        <f t="array" ref="A156:AN156">INDEX(INDICES,MATCH(EDATE(A155,1),'INDICES PRIX'!A:A,0),)</f>
        <v>46143</v>
      </c>
      <c r="B156" s="113">
        <v>127.8</v>
      </c>
      <c r="C156" s="109">
        <v>143</v>
      </c>
      <c r="D156" s="109">
        <v>138.19999999999999</v>
      </c>
      <c r="E156" s="109">
        <v>212.8</v>
      </c>
      <c r="F156" s="109">
        <v>131.69999999999999</v>
      </c>
      <c r="G156" s="109">
        <v>120.7</v>
      </c>
      <c r="H156" s="109">
        <v>129.19999999999999</v>
      </c>
      <c r="I156" s="109">
        <v>109.7</v>
      </c>
      <c r="J156" s="109">
        <v>109.8</v>
      </c>
      <c r="K156" s="109">
        <v>205.64174430131035</v>
      </c>
      <c r="L156" s="109">
        <v>119.5</v>
      </c>
      <c r="M156" s="109">
        <v>114.6</v>
      </c>
      <c r="N156" s="109">
        <v>136.5</v>
      </c>
      <c r="O156" s="109">
        <v>95.4</v>
      </c>
      <c r="P156" s="109">
        <v>120</v>
      </c>
      <c r="Q156" s="109">
        <v>120.4</v>
      </c>
      <c r="R156" s="109">
        <v>151.4</v>
      </c>
      <c r="S156" s="109">
        <v>118.6</v>
      </c>
      <c r="T156" s="109">
        <v>91.3</v>
      </c>
      <c r="U156" s="109">
        <v>149.4</v>
      </c>
      <c r="V156" s="109">
        <v>123</v>
      </c>
      <c r="W156" s="109">
        <v>117.5</v>
      </c>
      <c r="X156" s="109">
        <v>131.69999999999999</v>
      </c>
      <c r="Y156" s="109">
        <v>141.69999999999999</v>
      </c>
      <c r="Z156" s="109">
        <v>130.9</v>
      </c>
      <c r="AA156" s="109">
        <v>119.2</v>
      </c>
      <c r="AB156" s="109">
        <v>121.9</v>
      </c>
      <c r="AC156" s="109">
        <v>125.8</v>
      </c>
      <c r="AD156" s="109">
        <v>118.4</v>
      </c>
      <c r="AE156" s="109">
        <v>137.9</v>
      </c>
      <c r="AF156" s="109">
        <v>133.6</v>
      </c>
      <c r="AG156" s="109">
        <v>144.80000000000001</v>
      </c>
      <c r="AH156" s="109">
        <v>106.8</v>
      </c>
      <c r="AI156" s="109">
        <v>84</v>
      </c>
      <c r="AJ156" s="109">
        <v>129.4</v>
      </c>
      <c r="AK156" s="109">
        <v>101.3</v>
      </c>
      <c r="AL156" s="109">
        <v>89.3</v>
      </c>
      <c r="AM156" s="109">
        <v>119.2</v>
      </c>
      <c r="AN156" s="109">
        <v>116.9</v>
      </c>
      <c r="AO156" s="109"/>
      <c r="AP156" s="110"/>
    </row>
    <row r="157" spans="1:42">
      <c r="A157" s="95" t="s">
        <v>201</v>
      </c>
      <c r="B157">
        <f>SUM(B154:B156)</f>
        <v>382.4</v>
      </c>
      <c r="C157">
        <f>SUM(C154:C156)</f>
        <v>429</v>
      </c>
      <c r="D157">
        <f t="shared" ref="D157:X157" si="9">SUM(D154:D156)</f>
        <v>414.59999999999997</v>
      </c>
      <c r="E157">
        <f t="shared" si="9"/>
        <v>667.40000000000009</v>
      </c>
      <c r="F157">
        <f t="shared" si="9"/>
        <v>396.52</v>
      </c>
      <c r="G157">
        <f t="shared" si="9"/>
        <v>361.3</v>
      </c>
      <c r="H157">
        <f t="shared" si="9"/>
        <v>384.09999999999997</v>
      </c>
      <c r="I157">
        <f t="shared" si="9"/>
        <v>374.40000000000003</v>
      </c>
      <c r="J157">
        <f t="shared" si="9"/>
        <v>325.90000000000003</v>
      </c>
      <c r="K157">
        <f t="shared" si="9"/>
        <v>626.35638876326698</v>
      </c>
      <c r="L157">
        <f t="shared" si="9"/>
        <v>329.5</v>
      </c>
      <c r="M157">
        <f t="shared" si="9"/>
        <v>343.6</v>
      </c>
      <c r="N157">
        <f t="shared" si="9"/>
        <v>407.7</v>
      </c>
      <c r="O157">
        <f t="shared" si="9"/>
        <v>274.29999999999995</v>
      </c>
      <c r="P157">
        <f t="shared" si="9"/>
        <v>359.5</v>
      </c>
      <c r="Q157">
        <f t="shared" si="9"/>
        <v>336.29999999999995</v>
      </c>
      <c r="R157">
        <f t="shared" si="9"/>
        <v>449.4</v>
      </c>
      <c r="S157">
        <f t="shared" si="9"/>
        <v>345.4</v>
      </c>
      <c r="T157">
        <f t="shared" si="9"/>
        <v>273.89999999999998</v>
      </c>
      <c r="U157">
        <f t="shared" si="9"/>
        <v>408.20000000000005</v>
      </c>
      <c r="V157">
        <f t="shared" si="9"/>
        <v>369.4</v>
      </c>
      <c r="W157">
        <f t="shared" si="9"/>
        <v>350</v>
      </c>
      <c r="X157">
        <f t="shared" si="9"/>
        <v>393.5</v>
      </c>
      <c r="Y157">
        <f t="shared" ref="Y157" si="10">SUM(Y154:Y156)</f>
        <v>422.09999999999997</v>
      </c>
      <c r="Z157">
        <f t="shared" ref="Z157" si="11">SUM(Z154:Z156)</f>
        <v>392.70000000000005</v>
      </c>
      <c r="AA157">
        <f t="shared" ref="AA157" si="12">SUM(AA154:AA156)</f>
        <v>356.3</v>
      </c>
      <c r="AB157">
        <f t="shared" ref="AB157" si="13">SUM(AB154:AB156)</f>
        <v>331.70000000000005</v>
      </c>
      <c r="AC157">
        <f t="shared" ref="AC157" si="14">SUM(AC154:AC156)</f>
        <v>376.8</v>
      </c>
      <c r="AD157">
        <f t="shared" ref="AD157" si="15">SUM(AD154:AD156)</f>
        <v>354.4</v>
      </c>
      <c r="AE157">
        <f t="shared" ref="AE157" si="16">SUM(AE154:AE156)</f>
        <v>413.70000000000005</v>
      </c>
      <c r="AF157">
        <f t="shared" ref="AF157" si="17">SUM(AF154:AF156)</f>
        <v>394</v>
      </c>
      <c r="AG157">
        <f t="shared" ref="AG157" si="18">SUM(AG154:AG156)</f>
        <v>423.1</v>
      </c>
      <c r="AH157">
        <f t="shared" ref="AH157" si="19">SUM(AH154:AH156)</f>
        <v>321.10000000000002</v>
      </c>
      <c r="AI157">
        <f t="shared" ref="AI157" si="20">SUM(AI154:AI156)</f>
        <v>250.4</v>
      </c>
      <c r="AJ157">
        <f t="shared" ref="AJ157" si="21">SUM(AJ154:AJ156)</f>
        <v>383.3</v>
      </c>
      <c r="AK157">
        <f t="shared" ref="AK157" si="22">SUM(AK154:AK156)</f>
        <v>297.10000000000002</v>
      </c>
      <c r="AL157">
        <f t="shared" ref="AL157" si="23">SUM(AL154:AL156)</f>
        <v>261.39999999999998</v>
      </c>
      <c r="AM157">
        <f t="shared" ref="AM157" si="24">SUM(AM154:AM156)</f>
        <v>356.6</v>
      </c>
      <c r="AN157">
        <f t="shared" ref="AN157" si="25">SUM(AN154:AN156)</f>
        <v>345.1</v>
      </c>
      <c r="AO157">
        <f t="shared" ref="AO157" si="26">SUM(AO154:AO156)</f>
        <v>0</v>
      </c>
      <c r="AP157">
        <f t="shared" ref="AP157" si="27">SUM(AP154:AP156)</f>
        <v>0</v>
      </c>
    </row>
    <row r="158" spans="1:42">
      <c r="A158" s="95" t="s">
        <v>202</v>
      </c>
      <c r="B158">
        <f>SUM(B151:B153)</f>
        <v>379</v>
      </c>
      <c r="C158">
        <f>SUM(C151:C153)</f>
        <v>426.6</v>
      </c>
      <c r="D158">
        <f t="shared" ref="D158:X158" si="28">SUM(D151:D153)</f>
        <v>412.9</v>
      </c>
      <c r="E158">
        <f t="shared" si="28"/>
        <v>458.1</v>
      </c>
      <c r="F158">
        <f t="shared" si="28"/>
        <v>302.72000000000003</v>
      </c>
      <c r="G158">
        <f t="shared" si="28"/>
        <v>356.9</v>
      </c>
      <c r="H158">
        <f t="shared" si="28"/>
        <v>376.8</v>
      </c>
      <c r="I158">
        <f t="shared" si="28"/>
        <v>449.1</v>
      </c>
      <c r="J158">
        <f t="shared" si="28"/>
        <v>226.60000000000002</v>
      </c>
      <c r="K158">
        <f t="shared" si="28"/>
        <v>398.64350971603335</v>
      </c>
      <c r="L158">
        <f t="shared" si="28"/>
        <v>301</v>
      </c>
      <c r="M158">
        <f t="shared" si="28"/>
        <v>342.5</v>
      </c>
      <c r="N158">
        <f t="shared" si="28"/>
        <v>398</v>
      </c>
      <c r="O158">
        <f t="shared" si="28"/>
        <v>256.89999999999998</v>
      </c>
      <c r="P158">
        <f t="shared" si="28"/>
        <v>351.4</v>
      </c>
      <c r="Q158">
        <f t="shared" si="28"/>
        <v>312.39999999999998</v>
      </c>
      <c r="R158">
        <f t="shared" si="28"/>
        <v>442.79999999999995</v>
      </c>
      <c r="S158">
        <f t="shared" si="28"/>
        <v>333.9</v>
      </c>
      <c r="T158">
        <f t="shared" si="28"/>
        <v>271.10000000000002</v>
      </c>
      <c r="U158">
        <f t="shared" si="28"/>
        <v>295</v>
      </c>
      <c r="V158">
        <f t="shared" si="28"/>
        <v>382.4</v>
      </c>
      <c r="W158">
        <f t="shared" si="28"/>
        <v>341.5</v>
      </c>
      <c r="X158">
        <f t="shared" si="28"/>
        <v>383.9</v>
      </c>
      <c r="Y158">
        <f t="shared" ref="Y158:AP158" si="29">SUM(Y151:Y153)</f>
        <v>419.4</v>
      </c>
      <c r="Z158">
        <f t="shared" si="29"/>
        <v>388.4</v>
      </c>
      <c r="AA158">
        <f t="shared" si="29"/>
        <v>353.2</v>
      </c>
      <c r="AB158">
        <f t="shared" si="29"/>
        <v>252.8</v>
      </c>
      <c r="AC158">
        <f t="shared" si="29"/>
        <v>371.4</v>
      </c>
      <c r="AD158">
        <f t="shared" si="29"/>
        <v>355.8</v>
      </c>
      <c r="AE158">
        <f t="shared" si="29"/>
        <v>398.6</v>
      </c>
      <c r="AF158">
        <f t="shared" si="29"/>
        <v>381.3</v>
      </c>
      <c r="AG158">
        <f t="shared" si="29"/>
        <v>399.40000000000003</v>
      </c>
      <c r="AH158">
        <f t="shared" si="29"/>
        <v>314.79999999999995</v>
      </c>
      <c r="AI158">
        <f t="shared" si="29"/>
        <v>246.99999999999997</v>
      </c>
      <c r="AJ158">
        <f t="shared" si="29"/>
        <v>393.6</v>
      </c>
      <c r="AK158">
        <f t="shared" si="29"/>
        <v>279</v>
      </c>
      <c r="AL158">
        <f t="shared" si="29"/>
        <v>246.7</v>
      </c>
      <c r="AM158">
        <f t="shared" si="29"/>
        <v>355.2</v>
      </c>
      <c r="AN158">
        <f t="shared" si="29"/>
        <v>330</v>
      </c>
      <c r="AO158">
        <f t="shared" si="29"/>
        <v>0</v>
      </c>
      <c r="AP158">
        <f t="shared" si="29"/>
        <v>0</v>
      </c>
    </row>
    <row r="160" spans="1:42">
      <c r="B160" s="241" t="s">
        <v>40</v>
      </c>
      <c r="C160" s="241"/>
      <c r="D160" s="241"/>
    </row>
    <row r="161" spans="1:42">
      <c r="A161" s="104" cm="1">
        <f t="array" ref="A161:AN161">INDEX(INDICES,MATCH(EDATE(DATE3,-11),'INDICES PRIX'!A:A,0),)</f>
        <v>45809</v>
      </c>
      <c r="B161" s="43">
        <v>126</v>
      </c>
      <c r="C161" s="43">
        <v>138.69999999999999</v>
      </c>
      <c r="D161" s="43">
        <v>135.80000000000001</v>
      </c>
      <c r="E161" s="43">
        <v>143.9</v>
      </c>
      <c r="F161" s="43">
        <v>98.01</v>
      </c>
      <c r="G161" s="43">
        <v>119.2</v>
      </c>
      <c r="H161" s="43">
        <v>125.5</v>
      </c>
      <c r="I161" s="43">
        <v>96.2</v>
      </c>
      <c r="J161" s="43">
        <v>86.2</v>
      </c>
      <c r="K161" s="43">
        <v>127.85</v>
      </c>
      <c r="L161" s="43">
        <v>103.6</v>
      </c>
      <c r="M161" s="43">
        <v>113.4</v>
      </c>
      <c r="N161" s="43">
        <v>130.69999999999999</v>
      </c>
      <c r="O161" s="43">
        <v>89.4</v>
      </c>
      <c r="P161" s="43">
        <v>115.2</v>
      </c>
      <c r="Q161" s="43">
        <v>107.7</v>
      </c>
      <c r="R161" s="43">
        <v>145.4</v>
      </c>
      <c r="S161" s="43">
        <v>110.9</v>
      </c>
      <c r="T161" s="43">
        <v>93.4</v>
      </c>
      <c r="U161" s="43">
        <v>115.4</v>
      </c>
      <c r="V161" s="43">
        <v>130.30000000000001</v>
      </c>
      <c r="W161" s="43">
        <v>114.5</v>
      </c>
      <c r="X161" s="43">
        <v>129.80000000000001</v>
      </c>
      <c r="Y161" s="43">
        <v>140.19999999999999</v>
      </c>
      <c r="Z161" s="43">
        <v>129.69999999999999</v>
      </c>
      <c r="AA161" s="43">
        <v>116.4</v>
      </c>
      <c r="AB161" s="43">
        <v>93</v>
      </c>
      <c r="AC161" s="43">
        <v>120.7</v>
      </c>
      <c r="AD161" s="43">
        <v>119.1</v>
      </c>
      <c r="AE161" s="43">
        <v>126</v>
      </c>
      <c r="AF161" s="43">
        <v>119.2</v>
      </c>
      <c r="AG161" s="43">
        <v>122.3</v>
      </c>
      <c r="AH161" s="43">
        <v>108.9</v>
      </c>
      <c r="AI161" s="43">
        <v>83.5</v>
      </c>
      <c r="AJ161" s="43">
        <v>136.30000000000001</v>
      </c>
      <c r="AK161" s="43">
        <v>94.7</v>
      </c>
      <c r="AL161" s="43">
        <v>82.5</v>
      </c>
      <c r="AM161" s="43">
        <v>118.3</v>
      </c>
      <c r="AN161" s="43">
        <v>108.9</v>
      </c>
      <c r="AO161" s="43"/>
      <c r="AP161" s="7"/>
    </row>
    <row r="162" spans="1:42">
      <c r="A162" s="106" cm="1">
        <f t="array" ref="A162:AN162">INDEX(INDICES,MATCH(EDATE(A161,1),'INDICES PRIX'!A:A,0),)</f>
        <v>45839</v>
      </c>
      <c r="B162">
        <v>125.5</v>
      </c>
      <c r="C162">
        <v>139</v>
      </c>
      <c r="D162">
        <v>136</v>
      </c>
      <c r="E162">
        <v>147.30000000000001</v>
      </c>
      <c r="F162">
        <v>100.68</v>
      </c>
      <c r="G162">
        <v>121.2</v>
      </c>
      <c r="H162">
        <v>125.3</v>
      </c>
      <c r="I162">
        <v>99.2</v>
      </c>
      <c r="J162">
        <v>86.6</v>
      </c>
      <c r="K162">
        <v>132.49710318172353</v>
      </c>
      <c r="L162">
        <v>101</v>
      </c>
      <c r="M162">
        <v>112.9</v>
      </c>
      <c r="N162">
        <v>131.30000000000001</v>
      </c>
      <c r="O162">
        <v>88.6</v>
      </c>
      <c r="P162">
        <v>115.2</v>
      </c>
      <c r="Q162">
        <v>107</v>
      </c>
      <c r="R162">
        <v>144</v>
      </c>
      <c r="S162">
        <v>108.8</v>
      </c>
      <c r="T162">
        <v>92.7</v>
      </c>
      <c r="U162">
        <v>118.8</v>
      </c>
      <c r="V162">
        <v>132.19999999999999</v>
      </c>
      <c r="W162">
        <v>113.9</v>
      </c>
      <c r="X162">
        <v>129.30000000000001</v>
      </c>
      <c r="Y162">
        <v>138.9</v>
      </c>
      <c r="Z162">
        <v>129.9</v>
      </c>
      <c r="AA162">
        <v>116.5</v>
      </c>
      <c r="AB162">
        <v>90.4</v>
      </c>
      <c r="AC162">
        <v>121</v>
      </c>
      <c r="AD162">
        <v>119.7</v>
      </c>
      <c r="AE162">
        <v>125.5</v>
      </c>
      <c r="AF162">
        <v>121.5</v>
      </c>
      <c r="AG162">
        <v>124.8</v>
      </c>
      <c r="AH162">
        <v>107.6</v>
      </c>
      <c r="AI162">
        <v>82.4</v>
      </c>
      <c r="AJ162">
        <v>137.80000000000001</v>
      </c>
      <c r="AK162">
        <v>94.6</v>
      </c>
      <c r="AL162">
        <v>82.1</v>
      </c>
      <c r="AM162">
        <v>118.1</v>
      </c>
      <c r="AN162">
        <v>108.3</v>
      </c>
      <c r="AP162" s="107"/>
    </row>
    <row r="163" spans="1:42">
      <c r="A163" s="106" cm="1">
        <f t="array" ref="A163:AN163">INDEX(INDICES,MATCH(EDATE(A162,1),'INDICES PRIX'!A:A,0),)</f>
        <v>45870</v>
      </c>
      <c r="B163">
        <v>128.4</v>
      </c>
      <c r="C163">
        <v>139.30000000000001</v>
      </c>
      <c r="D163">
        <v>136.30000000000001</v>
      </c>
      <c r="E163">
        <v>143.30000000000001</v>
      </c>
      <c r="F163">
        <v>98.92</v>
      </c>
      <c r="G163">
        <v>121</v>
      </c>
      <c r="H163">
        <v>125.3</v>
      </c>
      <c r="I163">
        <v>106.4</v>
      </c>
      <c r="J163">
        <v>80.7</v>
      </c>
      <c r="K163">
        <v>128.22471866649806</v>
      </c>
      <c r="L163">
        <v>101.8</v>
      </c>
      <c r="M163">
        <v>112.9</v>
      </c>
      <c r="N163">
        <v>132.69999999999999</v>
      </c>
      <c r="O163">
        <v>87.8</v>
      </c>
      <c r="P163">
        <v>116.8</v>
      </c>
      <c r="Q163">
        <v>107.3</v>
      </c>
      <c r="R163">
        <v>143</v>
      </c>
      <c r="S163">
        <v>109.6</v>
      </c>
      <c r="T163">
        <v>91.4</v>
      </c>
      <c r="U163">
        <v>114</v>
      </c>
      <c r="V163">
        <v>133.6</v>
      </c>
      <c r="W163">
        <v>114.9</v>
      </c>
      <c r="X163">
        <v>129.4</v>
      </c>
      <c r="Y163">
        <v>140.30000000000001</v>
      </c>
      <c r="Z163">
        <v>129.30000000000001</v>
      </c>
      <c r="AA163">
        <v>116.9</v>
      </c>
      <c r="AB163">
        <v>88.7</v>
      </c>
      <c r="AC163">
        <v>121.3</v>
      </c>
      <c r="AD163">
        <v>119.9</v>
      </c>
      <c r="AE163">
        <v>125.7</v>
      </c>
      <c r="AF163">
        <v>120.4</v>
      </c>
      <c r="AG163">
        <v>124.9</v>
      </c>
      <c r="AH163">
        <v>106.3</v>
      </c>
      <c r="AI163">
        <v>82.4</v>
      </c>
      <c r="AJ163">
        <v>137.9</v>
      </c>
      <c r="AK163">
        <v>92.1</v>
      </c>
      <c r="AL163">
        <v>79</v>
      </c>
      <c r="AM163">
        <v>118.8</v>
      </c>
      <c r="AN163">
        <v>108.2</v>
      </c>
      <c r="AP163" s="107"/>
    </row>
    <row r="164" spans="1:42">
      <c r="A164" s="106" cm="1">
        <f t="array" ref="A164:AN164">INDEX(INDICES,MATCH(EDATE(A163,1),'INDICES PRIX'!A:A,0),)</f>
        <v>45901</v>
      </c>
      <c r="B164">
        <v>126.8</v>
      </c>
      <c r="C164">
        <v>139.69999999999999</v>
      </c>
      <c r="D164">
        <v>136.5</v>
      </c>
      <c r="E164">
        <v>145.1</v>
      </c>
      <c r="F164">
        <v>99.17</v>
      </c>
      <c r="G164">
        <v>118.1</v>
      </c>
      <c r="H164">
        <v>125.3</v>
      </c>
      <c r="I164">
        <v>107.4</v>
      </c>
      <c r="J164">
        <v>78.7</v>
      </c>
      <c r="K164">
        <v>129.37702154404852</v>
      </c>
      <c r="L164">
        <v>101.9</v>
      </c>
      <c r="M164">
        <v>112.9</v>
      </c>
      <c r="N164">
        <v>131.30000000000001</v>
      </c>
      <c r="O164">
        <v>87.7</v>
      </c>
      <c r="P164">
        <v>115.8</v>
      </c>
      <c r="Q164">
        <v>106.2</v>
      </c>
      <c r="R164">
        <v>143.6</v>
      </c>
      <c r="S164">
        <v>106.9</v>
      </c>
      <c r="T164">
        <v>90.7</v>
      </c>
      <c r="U164">
        <v>109.8</v>
      </c>
      <c r="V164">
        <v>130.69999999999999</v>
      </c>
      <c r="W164">
        <v>114.1</v>
      </c>
      <c r="X164">
        <v>129.1</v>
      </c>
      <c r="Y164">
        <v>140.4</v>
      </c>
      <c r="Z164">
        <v>127</v>
      </c>
      <c r="AA164">
        <v>116.9</v>
      </c>
      <c r="AB164">
        <v>88</v>
      </c>
      <c r="AC164">
        <v>121.4</v>
      </c>
      <c r="AD164">
        <v>118.3</v>
      </c>
      <c r="AE164">
        <v>124.1</v>
      </c>
      <c r="AF164">
        <v>122.2</v>
      </c>
      <c r="AG164">
        <v>128.19999999999999</v>
      </c>
      <c r="AH164">
        <v>107.6</v>
      </c>
      <c r="AI164">
        <v>82.4</v>
      </c>
      <c r="AJ164">
        <v>134.69999999999999</v>
      </c>
      <c r="AK164">
        <v>92.1</v>
      </c>
      <c r="AL164">
        <v>80.099999999999994</v>
      </c>
      <c r="AM164">
        <v>118.5</v>
      </c>
      <c r="AN164">
        <v>107.1</v>
      </c>
      <c r="AP164" s="107"/>
    </row>
    <row r="165" spans="1:42">
      <c r="A165" s="106" cm="1">
        <f t="array" ref="A165:AN165">INDEX(INDICES,MATCH(EDATE(A164,1),'INDICES PRIX'!A:A,0),)</f>
        <v>45931</v>
      </c>
      <c r="B165">
        <v>126.7</v>
      </c>
      <c r="C165">
        <v>140.4</v>
      </c>
      <c r="D165">
        <v>136.80000000000001</v>
      </c>
      <c r="E165">
        <v>143.4</v>
      </c>
      <c r="F165">
        <v>98.62</v>
      </c>
      <c r="G165">
        <v>119.5</v>
      </c>
      <c r="H165">
        <v>125.4</v>
      </c>
      <c r="I165">
        <v>109.5</v>
      </c>
      <c r="J165">
        <v>77.599999999999994</v>
      </c>
      <c r="K165">
        <v>128.47290697858585</v>
      </c>
      <c r="L165">
        <v>100.9</v>
      </c>
      <c r="M165">
        <v>113.8</v>
      </c>
      <c r="N165">
        <v>131.69999999999999</v>
      </c>
      <c r="O165">
        <v>86.4</v>
      </c>
      <c r="P165">
        <v>116</v>
      </c>
      <c r="Q165">
        <v>105.8</v>
      </c>
      <c r="R165">
        <v>143.30000000000001</v>
      </c>
      <c r="S165">
        <v>107</v>
      </c>
      <c r="T165">
        <v>90.4</v>
      </c>
      <c r="U165">
        <v>106.7</v>
      </c>
      <c r="V165">
        <v>132.30000000000001</v>
      </c>
      <c r="W165">
        <v>114.7</v>
      </c>
      <c r="X165">
        <v>127</v>
      </c>
      <c r="Y165">
        <v>139</v>
      </c>
      <c r="Z165">
        <v>126.5</v>
      </c>
      <c r="AA165">
        <v>116.5</v>
      </c>
      <c r="AB165">
        <v>88.3</v>
      </c>
      <c r="AC165">
        <v>121.8</v>
      </c>
      <c r="AD165">
        <v>117.7</v>
      </c>
      <c r="AE165">
        <v>123.9</v>
      </c>
      <c r="AF165">
        <v>121.3</v>
      </c>
      <c r="AG165">
        <v>123.8</v>
      </c>
      <c r="AH165">
        <v>106.5</v>
      </c>
      <c r="AI165">
        <v>82.9</v>
      </c>
      <c r="AJ165">
        <v>134.80000000000001</v>
      </c>
      <c r="AK165">
        <v>91.3</v>
      </c>
      <c r="AL165">
        <v>78.5</v>
      </c>
      <c r="AM165">
        <v>118.2</v>
      </c>
      <c r="AN165">
        <v>107</v>
      </c>
      <c r="AP165" s="107"/>
    </row>
    <row r="166" spans="1:42">
      <c r="A166" s="106" cm="1">
        <f t="array" ref="A166:AN166">INDEX(INDICES,MATCH(EDATE(A165,1),'INDICES PRIX'!A:A,0),)</f>
        <v>45962</v>
      </c>
      <c r="B166">
        <v>126.2</v>
      </c>
      <c r="C166">
        <v>141.1</v>
      </c>
      <c r="D166">
        <v>137.1</v>
      </c>
      <c r="E166">
        <v>149.6</v>
      </c>
      <c r="F166">
        <v>102.87</v>
      </c>
      <c r="G166">
        <v>118.2</v>
      </c>
      <c r="H166">
        <v>125.4</v>
      </c>
      <c r="I166">
        <v>123.6</v>
      </c>
      <c r="J166">
        <v>75.7</v>
      </c>
      <c r="K166">
        <v>139.23364308124926</v>
      </c>
      <c r="L166">
        <v>100.7</v>
      </c>
      <c r="M166">
        <v>113.8</v>
      </c>
      <c r="N166">
        <v>131.6</v>
      </c>
      <c r="O166">
        <v>85.7</v>
      </c>
      <c r="P166">
        <v>115.9</v>
      </c>
      <c r="Q166">
        <v>105.1</v>
      </c>
      <c r="R166">
        <v>143.9</v>
      </c>
      <c r="S166">
        <v>110</v>
      </c>
      <c r="T166">
        <v>89.8</v>
      </c>
      <c r="U166">
        <v>107</v>
      </c>
      <c r="V166">
        <v>127.8</v>
      </c>
      <c r="W166">
        <v>114.2</v>
      </c>
      <c r="X166">
        <v>128.19999999999999</v>
      </c>
      <c r="Y166">
        <v>139.5</v>
      </c>
      <c r="Z166">
        <v>127.9</v>
      </c>
      <c r="AA166">
        <v>116.7</v>
      </c>
      <c r="AB166">
        <v>86.1</v>
      </c>
      <c r="AC166">
        <v>122.7</v>
      </c>
      <c r="AD166">
        <v>117.5</v>
      </c>
      <c r="AE166">
        <v>125.5</v>
      </c>
      <c r="AF166">
        <v>123.2</v>
      </c>
      <c r="AG166">
        <v>126.9</v>
      </c>
      <c r="AH166">
        <v>106.1</v>
      </c>
      <c r="AI166">
        <v>82.6</v>
      </c>
      <c r="AJ166">
        <v>130.1</v>
      </c>
      <c r="AK166">
        <v>90.3</v>
      </c>
      <c r="AL166">
        <v>79.599999999999994</v>
      </c>
      <c r="AM166">
        <v>117.6</v>
      </c>
      <c r="AN166">
        <v>107.1</v>
      </c>
      <c r="AP166" s="107"/>
    </row>
    <row r="167" spans="1:42">
      <c r="A167" s="106" cm="1">
        <f t="array" ref="A167:AN167">INDEX(INDICES,MATCH(EDATE(A166,1),'INDICES PRIX'!A:A,0),)</f>
        <v>45992</v>
      </c>
      <c r="B167">
        <v>125.5</v>
      </c>
      <c r="C167">
        <v>141.80000000000001</v>
      </c>
      <c r="D167">
        <v>137.4</v>
      </c>
      <c r="E167">
        <v>136.69999999999999</v>
      </c>
      <c r="F167">
        <v>98.39</v>
      </c>
      <c r="G167">
        <v>119.7</v>
      </c>
      <c r="H167">
        <v>125.4</v>
      </c>
      <c r="I167">
        <v>146.19999999999999</v>
      </c>
      <c r="J167">
        <v>74.5</v>
      </c>
      <c r="K167">
        <v>125.53</v>
      </c>
      <c r="L167">
        <v>99.8</v>
      </c>
      <c r="M167">
        <v>113.8</v>
      </c>
      <c r="N167">
        <v>131.19999999999999</v>
      </c>
      <c r="O167">
        <v>85.6</v>
      </c>
      <c r="P167">
        <v>116.6</v>
      </c>
      <c r="Q167">
        <v>104.8</v>
      </c>
      <c r="R167">
        <v>143.80000000000001</v>
      </c>
      <c r="S167">
        <v>109.5</v>
      </c>
      <c r="T167">
        <v>89.6</v>
      </c>
      <c r="U167">
        <v>101.7</v>
      </c>
      <c r="V167">
        <v>127.2</v>
      </c>
      <c r="W167">
        <v>112.1</v>
      </c>
      <c r="X167">
        <v>127.5</v>
      </c>
      <c r="Y167">
        <v>138.1</v>
      </c>
      <c r="Z167">
        <v>127.1</v>
      </c>
      <c r="AA167">
        <v>117</v>
      </c>
      <c r="AB167">
        <v>84.7</v>
      </c>
      <c r="AC167">
        <v>122.7</v>
      </c>
      <c r="AD167">
        <v>117.8</v>
      </c>
      <c r="AE167">
        <v>126.3</v>
      </c>
      <c r="AF167">
        <v>123.8</v>
      </c>
      <c r="AG167">
        <v>127.6</v>
      </c>
      <c r="AH167">
        <v>103.3</v>
      </c>
      <c r="AI167">
        <v>82.8</v>
      </c>
      <c r="AJ167">
        <v>132.4</v>
      </c>
      <c r="AK167">
        <v>91.2</v>
      </c>
      <c r="AL167">
        <v>81.099999999999994</v>
      </c>
      <c r="AM167">
        <v>117.6</v>
      </c>
      <c r="AN167">
        <v>107.9</v>
      </c>
      <c r="AP167" s="107"/>
    </row>
    <row r="168" spans="1:42">
      <c r="A168" s="106" cm="1">
        <f t="array" ref="A168:AN168">INDEX(INDICES,MATCH(EDATE(A167,1),'INDICES PRIX'!A:A,0),)</f>
        <v>46023</v>
      </c>
      <c r="B168">
        <v>127.6</v>
      </c>
      <c r="C168">
        <v>142.19999999999999</v>
      </c>
      <c r="D168">
        <v>137.6</v>
      </c>
      <c r="E168">
        <v>159</v>
      </c>
      <c r="F168">
        <v>100.91</v>
      </c>
      <c r="G168">
        <v>118</v>
      </c>
      <c r="H168">
        <v>125.7</v>
      </c>
      <c r="I168">
        <v>155.80000000000001</v>
      </c>
      <c r="J168">
        <v>71.400000000000006</v>
      </c>
      <c r="K168">
        <v>133.73804474216251</v>
      </c>
      <c r="L168">
        <v>100.1</v>
      </c>
      <c r="M168">
        <v>114.3</v>
      </c>
      <c r="N168">
        <v>133.4</v>
      </c>
      <c r="O168">
        <v>85.4</v>
      </c>
      <c r="P168">
        <v>116.5</v>
      </c>
      <c r="Q168">
        <v>104.2</v>
      </c>
      <c r="R168">
        <v>150.1</v>
      </c>
      <c r="S168">
        <v>112.4</v>
      </c>
      <c r="T168">
        <v>90.2</v>
      </c>
      <c r="U168">
        <v>96</v>
      </c>
      <c r="V168">
        <v>126.8</v>
      </c>
      <c r="W168">
        <v>115.1</v>
      </c>
      <c r="X168">
        <v>127.5</v>
      </c>
      <c r="Y168">
        <v>139.6</v>
      </c>
      <c r="Z168">
        <v>130.4</v>
      </c>
      <c r="AA168">
        <v>118.1</v>
      </c>
      <c r="AB168">
        <v>83.8</v>
      </c>
      <c r="AC168">
        <v>124</v>
      </c>
      <c r="AD168">
        <v>118.8</v>
      </c>
      <c r="AE168">
        <v>134.4</v>
      </c>
      <c r="AF168">
        <v>128.80000000000001</v>
      </c>
      <c r="AG168">
        <v>135</v>
      </c>
      <c r="AH168">
        <v>104.9</v>
      </c>
      <c r="AI168">
        <v>82.1</v>
      </c>
      <c r="AJ168">
        <v>130.9</v>
      </c>
      <c r="AK168">
        <v>93</v>
      </c>
      <c r="AL168">
        <v>81.900000000000006</v>
      </c>
      <c r="AM168">
        <v>118.3</v>
      </c>
      <c r="AN168">
        <v>110.2</v>
      </c>
      <c r="AP168" s="107"/>
    </row>
    <row r="169" spans="1:42">
      <c r="A169" s="106" cm="1">
        <f t="array" ref="A169:AN169">INDEX(INDICES,MATCH(EDATE(A168,1),'INDICES PRIX'!A:A,0),)</f>
        <v>46054</v>
      </c>
      <c r="B169">
        <v>125.9</v>
      </c>
      <c r="C169">
        <v>142.6</v>
      </c>
      <c r="D169">
        <v>137.9</v>
      </c>
      <c r="E169">
        <v>162.4</v>
      </c>
      <c r="F169">
        <v>103.42</v>
      </c>
      <c r="G169">
        <v>119.2</v>
      </c>
      <c r="H169">
        <v>125.7</v>
      </c>
      <c r="I169">
        <v>147.1</v>
      </c>
      <c r="J169">
        <v>80.7</v>
      </c>
      <c r="K169">
        <v>139.37546497387086</v>
      </c>
      <c r="L169">
        <v>101.1</v>
      </c>
      <c r="M169">
        <v>114.4</v>
      </c>
      <c r="N169">
        <v>133.4</v>
      </c>
      <c r="O169">
        <v>85.9</v>
      </c>
      <c r="P169">
        <v>118.3</v>
      </c>
      <c r="Q169">
        <v>103.4</v>
      </c>
      <c r="R169">
        <v>148.9</v>
      </c>
      <c r="S169">
        <v>112</v>
      </c>
      <c r="T169">
        <v>91.3</v>
      </c>
      <c r="U169">
        <v>97.3</v>
      </c>
      <c r="V169">
        <v>128.4</v>
      </c>
      <c r="W169">
        <v>114.3</v>
      </c>
      <c r="X169">
        <v>128.9</v>
      </c>
      <c r="Y169">
        <v>141.69999999999999</v>
      </c>
      <c r="Z169">
        <v>130.9</v>
      </c>
      <c r="AA169">
        <v>118.1</v>
      </c>
      <c r="AB169">
        <v>84.3</v>
      </c>
      <c r="AC169">
        <v>124.7</v>
      </c>
      <c r="AD169">
        <v>119.2</v>
      </c>
      <c r="AE169">
        <v>137.9</v>
      </c>
      <c r="AF169">
        <v>128.69999999999999</v>
      </c>
      <c r="AG169">
        <v>136.80000000000001</v>
      </c>
      <c r="AH169">
        <v>106.6</v>
      </c>
      <c r="AI169">
        <v>82.1</v>
      </c>
      <c r="AJ169">
        <v>130.30000000000001</v>
      </c>
      <c r="AK169">
        <v>94.8</v>
      </c>
      <c r="AL169">
        <v>83.7</v>
      </c>
      <c r="AM169">
        <v>119.3</v>
      </c>
      <c r="AN169">
        <v>111.9</v>
      </c>
      <c r="AP169" s="107"/>
    </row>
    <row r="170" spans="1:42">
      <c r="A170" s="106" cm="1">
        <f t="array" ref="A170:AN170">INDEX(INDICES,MATCH(EDATE(A169,1),'INDICES PRIX'!A:A,0),)</f>
        <v>46082</v>
      </c>
      <c r="B170">
        <v>126.5</v>
      </c>
      <c r="C170">
        <v>143</v>
      </c>
      <c r="D170">
        <v>138.19999999999999</v>
      </c>
      <c r="E170">
        <v>224.3</v>
      </c>
      <c r="F170">
        <v>126.08</v>
      </c>
      <c r="G170">
        <v>119.2</v>
      </c>
      <c r="H170">
        <v>125.7</v>
      </c>
      <c r="I170">
        <v>140.30000000000001</v>
      </c>
      <c r="J170">
        <v>93.9</v>
      </c>
      <c r="K170">
        <v>197.64653510476802</v>
      </c>
      <c r="L170">
        <v>102</v>
      </c>
      <c r="M170">
        <v>114.4</v>
      </c>
      <c r="N170">
        <v>133.69999999999999</v>
      </c>
      <c r="O170">
        <v>87.6</v>
      </c>
      <c r="P170">
        <v>118.5</v>
      </c>
      <c r="Q170">
        <v>104.6</v>
      </c>
      <c r="R170">
        <v>148.9</v>
      </c>
      <c r="S170">
        <v>112</v>
      </c>
      <c r="T170">
        <v>91.3</v>
      </c>
      <c r="U170">
        <v>109</v>
      </c>
      <c r="V170">
        <v>122.7</v>
      </c>
      <c r="W170">
        <v>115.4</v>
      </c>
      <c r="X170">
        <v>131.30000000000001</v>
      </c>
      <c r="Y170">
        <v>140.4</v>
      </c>
      <c r="Z170">
        <v>130.9</v>
      </c>
      <c r="AA170">
        <v>118.4</v>
      </c>
      <c r="AB170">
        <v>90.2</v>
      </c>
      <c r="AC170">
        <v>127</v>
      </c>
      <c r="AD170">
        <v>117.8</v>
      </c>
      <c r="AE170">
        <v>137.9</v>
      </c>
      <c r="AF170">
        <v>127</v>
      </c>
      <c r="AG170">
        <v>133.5</v>
      </c>
      <c r="AH170">
        <v>107.1</v>
      </c>
      <c r="AI170">
        <v>82.9</v>
      </c>
      <c r="AJ170">
        <v>126.5</v>
      </c>
      <c r="AK170">
        <v>95.9</v>
      </c>
      <c r="AL170">
        <v>84.8</v>
      </c>
      <c r="AM170">
        <v>118.4</v>
      </c>
      <c r="AN170">
        <v>113.1</v>
      </c>
      <c r="AP170" s="107"/>
    </row>
    <row r="171" spans="1:42">
      <c r="A171" s="106" cm="1">
        <f t="array" ref="A171:AN171">INDEX(INDICES,MATCH(EDATE(A170,1),'INDICES PRIX'!A:A,0),)</f>
        <v>46113</v>
      </c>
      <c r="B171">
        <v>128.1</v>
      </c>
      <c r="C171">
        <v>143</v>
      </c>
      <c r="D171">
        <v>138.19999999999999</v>
      </c>
      <c r="E171">
        <v>230.3</v>
      </c>
      <c r="F171">
        <v>138.74</v>
      </c>
      <c r="G171">
        <v>121.4</v>
      </c>
      <c r="H171">
        <v>129.19999999999999</v>
      </c>
      <c r="I171">
        <v>124.4</v>
      </c>
      <c r="J171">
        <v>122.2</v>
      </c>
      <c r="K171">
        <v>223.06810935718863</v>
      </c>
      <c r="L171">
        <v>108</v>
      </c>
      <c r="M171">
        <v>114.6</v>
      </c>
      <c r="N171">
        <v>137.5</v>
      </c>
      <c r="O171">
        <v>91.3</v>
      </c>
      <c r="P171">
        <v>121</v>
      </c>
      <c r="Q171">
        <v>111.3</v>
      </c>
      <c r="R171">
        <v>149.1</v>
      </c>
      <c r="S171">
        <v>114.8</v>
      </c>
      <c r="T171">
        <v>91.3</v>
      </c>
      <c r="U171">
        <v>149.80000000000001</v>
      </c>
      <c r="V171">
        <v>123.7</v>
      </c>
      <c r="W171">
        <v>117.1</v>
      </c>
      <c r="X171">
        <v>130.5</v>
      </c>
      <c r="Y171">
        <v>140</v>
      </c>
      <c r="Z171">
        <v>130.9</v>
      </c>
      <c r="AA171">
        <v>118.7</v>
      </c>
      <c r="AB171">
        <v>119.6</v>
      </c>
      <c r="AC171">
        <v>124</v>
      </c>
      <c r="AD171">
        <v>118.2</v>
      </c>
      <c r="AE171">
        <v>137.9</v>
      </c>
      <c r="AF171">
        <v>133.4</v>
      </c>
      <c r="AG171">
        <v>144.80000000000001</v>
      </c>
      <c r="AH171">
        <v>107.2</v>
      </c>
      <c r="AI171">
        <v>83.5</v>
      </c>
      <c r="AJ171">
        <v>127.4</v>
      </c>
      <c r="AK171">
        <v>99.9</v>
      </c>
      <c r="AL171">
        <v>87.3</v>
      </c>
      <c r="AM171">
        <v>119</v>
      </c>
      <c r="AN171">
        <v>115.1</v>
      </c>
      <c r="AP171" s="107"/>
    </row>
    <row r="172" spans="1:42">
      <c r="A172" s="106" cm="1">
        <f t="array" ref="A172:AN172">INDEX(INDICES,MATCH(EDATE(A171,1),'INDICES PRIX'!A:A,0),)</f>
        <v>46143</v>
      </c>
      <c r="B172" s="109">
        <v>127.8</v>
      </c>
      <c r="C172" s="109">
        <v>143</v>
      </c>
      <c r="D172" s="109">
        <v>138.19999999999999</v>
      </c>
      <c r="E172" s="109">
        <v>212.8</v>
      </c>
      <c r="F172" s="109">
        <v>131.69999999999999</v>
      </c>
      <c r="G172" s="109">
        <v>120.7</v>
      </c>
      <c r="H172" s="109">
        <v>129.19999999999999</v>
      </c>
      <c r="I172" s="109">
        <v>109.7</v>
      </c>
      <c r="J172" s="109">
        <v>109.8</v>
      </c>
      <c r="K172" s="109">
        <v>205.64174430131035</v>
      </c>
      <c r="L172" s="109">
        <v>119.5</v>
      </c>
      <c r="M172" s="109">
        <v>114.6</v>
      </c>
      <c r="N172" s="109">
        <v>136.5</v>
      </c>
      <c r="O172" s="109">
        <v>95.4</v>
      </c>
      <c r="P172" s="109">
        <v>120</v>
      </c>
      <c r="Q172" s="109">
        <v>120.4</v>
      </c>
      <c r="R172" s="109">
        <v>151.4</v>
      </c>
      <c r="S172" s="109">
        <v>118.6</v>
      </c>
      <c r="T172" s="109">
        <v>91.3</v>
      </c>
      <c r="U172" s="109">
        <v>149.4</v>
      </c>
      <c r="V172" s="109">
        <v>123</v>
      </c>
      <c r="W172" s="109">
        <v>117.5</v>
      </c>
      <c r="X172" s="109">
        <v>131.69999999999999</v>
      </c>
      <c r="Y172" s="109">
        <v>141.69999999999999</v>
      </c>
      <c r="Z172" s="109">
        <v>130.9</v>
      </c>
      <c r="AA172" s="109">
        <v>119.2</v>
      </c>
      <c r="AB172" s="109">
        <v>121.9</v>
      </c>
      <c r="AC172" s="109">
        <v>125.8</v>
      </c>
      <c r="AD172" s="109">
        <v>118.4</v>
      </c>
      <c r="AE172" s="109">
        <v>137.9</v>
      </c>
      <c r="AF172" s="109">
        <v>133.6</v>
      </c>
      <c r="AG172" s="109">
        <v>144.80000000000001</v>
      </c>
      <c r="AH172" s="109">
        <v>106.8</v>
      </c>
      <c r="AI172" s="109">
        <v>84</v>
      </c>
      <c r="AJ172" s="109">
        <v>129.4</v>
      </c>
      <c r="AK172" s="109">
        <v>101.3</v>
      </c>
      <c r="AL172" s="109">
        <v>89.3</v>
      </c>
      <c r="AM172" s="109">
        <v>119.2</v>
      </c>
      <c r="AN172" s="109">
        <v>116.9</v>
      </c>
      <c r="AO172" s="109"/>
      <c r="AP172" s="110"/>
    </row>
    <row r="173" spans="1:42">
      <c r="A173" s="95" t="s">
        <v>201</v>
      </c>
      <c r="B173">
        <f>SUM(B167:B172)</f>
        <v>761.4</v>
      </c>
      <c r="C173">
        <f t="shared" ref="C173:AP173" si="30">SUM(C167:C172)</f>
        <v>855.6</v>
      </c>
      <c r="D173">
        <f t="shared" si="30"/>
        <v>827.5</v>
      </c>
      <c r="E173">
        <f t="shared" si="30"/>
        <v>1125.5</v>
      </c>
      <c r="F173">
        <f t="shared" si="30"/>
        <v>699.24</v>
      </c>
      <c r="G173">
        <f t="shared" si="30"/>
        <v>718.2</v>
      </c>
      <c r="H173">
        <f t="shared" si="30"/>
        <v>760.90000000000009</v>
      </c>
      <c r="I173">
        <f t="shared" si="30"/>
        <v>823.50000000000011</v>
      </c>
      <c r="J173">
        <f t="shared" si="30"/>
        <v>552.5</v>
      </c>
      <c r="K173">
        <f t="shared" si="30"/>
        <v>1024.9998984793003</v>
      </c>
      <c r="L173">
        <f t="shared" si="30"/>
        <v>630.5</v>
      </c>
      <c r="M173">
        <f t="shared" si="30"/>
        <v>686.1</v>
      </c>
      <c r="N173">
        <f t="shared" si="30"/>
        <v>805.7</v>
      </c>
      <c r="O173">
        <f t="shared" si="30"/>
        <v>531.20000000000005</v>
      </c>
      <c r="P173">
        <f t="shared" si="30"/>
        <v>710.9</v>
      </c>
      <c r="Q173">
        <f t="shared" si="30"/>
        <v>648.69999999999993</v>
      </c>
      <c r="R173">
        <f t="shared" si="30"/>
        <v>892.19999999999993</v>
      </c>
      <c r="S173">
        <f t="shared" si="30"/>
        <v>679.3</v>
      </c>
      <c r="T173">
        <f t="shared" si="30"/>
        <v>545</v>
      </c>
      <c r="U173">
        <f t="shared" si="30"/>
        <v>703.19999999999993</v>
      </c>
      <c r="V173">
        <f t="shared" si="30"/>
        <v>751.8</v>
      </c>
      <c r="W173">
        <f t="shared" si="30"/>
        <v>691.5</v>
      </c>
      <c r="X173">
        <f t="shared" si="30"/>
        <v>777.40000000000009</v>
      </c>
      <c r="Y173">
        <f t="shared" si="30"/>
        <v>841.5</v>
      </c>
      <c r="Z173">
        <f t="shared" si="30"/>
        <v>781.09999999999991</v>
      </c>
      <c r="AA173">
        <f t="shared" si="30"/>
        <v>709.50000000000011</v>
      </c>
      <c r="AB173">
        <f t="shared" si="30"/>
        <v>584.5</v>
      </c>
      <c r="AC173">
        <f t="shared" si="30"/>
        <v>748.19999999999993</v>
      </c>
      <c r="AD173">
        <f t="shared" si="30"/>
        <v>710.2</v>
      </c>
      <c r="AE173">
        <f t="shared" si="30"/>
        <v>812.3</v>
      </c>
      <c r="AF173">
        <f t="shared" si="30"/>
        <v>775.30000000000007</v>
      </c>
      <c r="AG173">
        <f t="shared" si="30"/>
        <v>822.5</v>
      </c>
      <c r="AH173">
        <f t="shared" si="30"/>
        <v>635.9</v>
      </c>
      <c r="AI173">
        <f t="shared" si="30"/>
        <v>497.4</v>
      </c>
      <c r="AJ173">
        <f t="shared" si="30"/>
        <v>776.9</v>
      </c>
      <c r="AK173">
        <f t="shared" si="30"/>
        <v>576.09999999999991</v>
      </c>
      <c r="AL173">
        <f t="shared" si="30"/>
        <v>508.1</v>
      </c>
      <c r="AM173">
        <f t="shared" si="30"/>
        <v>711.80000000000007</v>
      </c>
      <c r="AN173">
        <f t="shared" si="30"/>
        <v>675.1</v>
      </c>
      <c r="AO173">
        <f t="shared" si="30"/>
        <v>0</v>
      </c>
      <c r="AP173">
        <f t="shared" si="30"/>
        <v>0</v>
      </c>
    </row>
    <row r="174" spans="1:42">
      <c r="A174" s="95" t="s">
        <v>202</v>
      </c>
      <c r="B174">
        <f>SUM(B161:B166)</f>
        <v>759.6</v>
      </c>
      <c r="C174">
        <f t="shared" ref="C174:AP174" si="31">SUM(C161:C166)</f>
        <v>838.2</v>
      </c>
      <c r="D174">
        <f t="shared" si="31"/>
        <v>818.50000000000011</v>
      </c>
      <c r="E174">
        <f t="shared" si="31"/>
        <v>872.6</v>
      </c>
      <c r="F174">
        <f t="shared" si="31"/>
        <v>598.27</v>
      </c>
      <c r="G174">
        <f t="shared" si="31"/>
        <v>717.2</v>
      </c>
      <c r="H174">
        <f t="shared" si="31"/>
        <v>752.2</v>
      </c>
      <c r="I174">
        <f t="shared" si="31"/>
        <v>642.30000000000007</v>
      </c>
      <c r="J174">
        <f t="shared" si="31"/>
        <v>485.49999999999994</v>
      </c>
      <c r="K174">
        <f t="shared" si="31"/>
        <v>785.65539345210527</v>
      </c>
      <c r="L174">
        <f t="shared" si="31"/>
        <v>609.9</v>
      </c>
      <c r="M174">
        <f t="shared" si="31"/>
        <v>679.69999999999993</v>
      </c>
      <c r="N174">
        <f t="shared" si="31"/>
        <v>789.30000000000007</v>
      </c>
      <c r="O174">
        <f t="shared" si="31"/>
        <v>525.6</v>
      </c>
      <c r="P174">
        <f t="shared" si="31"/>
        <v>694.9</v>
      </c>
      <c r="Q174">
        <f t="shared" si="31"/>
        <v>639.1</v>
      </c>
      <c r="R174">
        <f t="shared" si="31"/>
        <v>863.19999999999993</v>
      </c>
      <c r="S174">
        <f t="shared" si="31"/>
        <v>653.19999999999993</v>
      </c>
      <c r="T174">
        <f t="shared" si="31"/>
        <v>548.4</v>
      </c>
      <c r="U174">
        <f t="shared" si="31"/>
        <v>671.7</v>
      </c>
      <c r="V174">
        <f t="shared" si="31"/>
        <v>786.89999999999986</v>
      </c>
      <c r="W174">
        <f t="shared" si="31"/>
        <v>686.30000000000007</v>
      </c>
      <c r="X174">
        <f t="shared" si="31"/>
        <v>772.8</v>
      </c>
      <c r="Y174">
        <f t="shared" si="31"/>
        <v>838.30000000000007</v>
      </c>
      <c r="Z174">
        <f t="shared" si="31"/>
        <v>770.30000000000007</v>
      </c>
      <c r="AA174">
        <f t="shared" si="31"/>
        <v>699.90000000000009</v>
      </c>
      <c r="AB174">
        <f t="shared" si="31"/>
        <v>534.5</v>
      </c>
      <c r="AC174">
        <f t="shared" si="31"/>
        <v>728.9</v>
      </c>
      <c r="AD174">
        <f t="shared" si="31"/>
        <v>712.2</v>
      </c>
      <c r="AE174">
        <f t="shared" si="31"/>
        <v>750.69999999999993</v>
      </c>
      <c r="AF174">
        <f t="shared" si="31"/>
        <v>727.80000000000007</v>
      </c>
      <c r="AG174">
        <f t="shared" si="31"/>
        <v>750.9</v>
      </c>
      <c r="AH174">
        <f t="shared" si="31"/>
        <v>643</v>
      </c>
      <c r="AI174">
        <f t="shared" si="31"/>
        <v>496.20000000000005</v>
      </c>
      <c r="AJ174">
        <f t="shared" si="31"/>
        <v>811.6</v>
      </c>
      <c r="AK174">
        <f t="shared" si="31"/>
        <v>555.1</v>
      </c>
      <c r="AL174">
        <f t="shared" si="31"/>
        <v>481.79999999999995</v>
      </c>
      <c r="AM174">
        <f t="shared" si="31"/>
        <v>709.5</v>
      </c>
      <c r="AN174">
        <f t="shared" si="31"/>
        <v>646.6</v>
      </c>
      <c r="AO174">
        <f t="shared" si="31"/>
        <v>0</v>
      </c>
      <c r="AP174">
        <f t="shared" si="31"/>
        <v>0</v>
      </c>
    </row>
    <row r="176" spans="1:42" ht="18.75">
      <c r="B176" s="240" t="s">
        <v>249</v>
      </c>
      <c r="C176" s="240"/>
      <c r="D176" s="240"/>
      <c r="E176" s="240"/>
    </row>
    <row r="177" spans="1:42">
      <c r="B177" s="241" t="s">
        <v>39</v>
      </c>
      <c r="C177" s="241"/>
      <c r="D177" s="241"/>
    </row>
    <row r="178" spans="1:42">
      <c r="A178" s="104" cm="1">
        <f t="array" ref="A178:AN178">INDEX(INDICES,MATCH(EDATE(DATE4,-5),'INDICES PRIX'!A:A,0),)</f>
        <v>45992</v>
      </c>
      <c r="B178" s="6">
        <v>125.5</v>
      </c>
      <c r="C178" s="43">
        <v>141.80000000000001</v>
      </c>
      <c r="D178" s="43">
        <v>137.4</v>
      </c>
      <c r="E178" s="43">
        <v>136.69999999999999</v>
      </c>
      <c r="F178" s="43">
        <v>98.39</v>
      </c>
      <c r="G178" s="43">
        <v>119.7</v>
      </c>
      <c r="H178" s="43">
        <v>125.4</v>
      </c>
      <c r="I178" s="43">
        <v>146.19999999999999</v>
      </c>
      <c r="J178" s="43">
        <v>74.5</v>
      </c>
      <c r="K178" s="43">
        <v>125.53</v>
      </c>
      <c r="L178" s="43">
        <v>99.8</v>
      </c>
      <c r="M178" s="43">
        <v>113.8</v>
      </c>
      <c r="N178" s="43">
        <v>131.19999999999999</v>
      </c>
      <c r="O178" s="43">
        <v>85.6</v>
      </c>
      <c r="P178" s="43">
        <v>116.6</v>
      </c>
      <c r="Q178" s="43">
        <v>104.8</v>
      </c>
      <c r="R178" s="43">
        <v>143.80000000000001</v>
      </c>
      <c r="S178" s="43">
        <v>109.5</v>
      </c>
      <c r="T178" s="43">
        <v>89.6</v>
      </c>
      <c r="U178" s="43">
        <v>101.7</v>
      </c>
      <c r="V178" s="43">
        <v>127.2</v>
      </c>
      <c r="W178" s="43">
        <v>112.1</v>
      </c>
      <c r="X178" s="43">
        <v>127.5</v>
      </c>
      <c r="Y178" s="43">
        <v>138.1</v>
      </c>
      <c r="Z178" s="43">
        <v>127.1</v>
      </c>
      <c r="AA178" s="43">
        <v>117</v>
      </c>
      <c r="AB178" s="43">
        <v>84.7</v>
      </c>
      <c r="AC178" s="43">
        <v>122.7</v>
      </c>
      <c r="AD178" s="43">
        <v>117.8</v>
      </c>
      <c r="AE178" s="43">
        <v>126.3</v>
      </c>
      <c r="AF178" s="43">
        <v>123.8</v>
      </c>
      <c r="AG178" s="43">
        <v>127.6</v>
      </c>
      <c r="AH178" s="43">
        <v>103.3</v>
      </c>
      <c r="AI178" s="43">
        <v>82.8</v>
      </c>
      <c r="AJ178" s="43">
        <v>132.4</v>
      </c>
      <c r="AK178" s="43">
        <v>91.2</v>
      </c>
      <c r="AL178" s="43">
        <v>81.099999999999994</v>
      </c>
      <c r="AM178" s="43">
        <v>117.6</v>
      </c>
      <c r="AN178" s="43">
        <v>107.9</v>
      </c>
      <c r="AO178" s="43"/>
      <c r="AP178" s="7"/>
    </row>
    <row r="179" spans="1:42">
      <c r="A179" s="106" cm="1">
        <f t="array" ref="A179:AN179">INDEX(INDICES,MATCH(EDATE(A178,1),'INDICES PRIX'!A:A,0),)</f>
        <v>46023</v>
      </c>
      <c r="B179" s="112">
        <v>127.6</v>
      </c>
      <c r="C179">
        <v>142.19999999999999</v>
      </c>
      <c r="D179">
        <v>137.6</v>
      </c>
      <c r="E179">
        <v>159</v>
      </c>
      <c r="F179">
        <v>100.91</v>
      </c>
      <c r="G179">
        <v>118</v>
      </c>
      <c r="H179">
        <v>125.7</v>
      </c>
      <c r="I179">
        <v>155.80000000000001</v>
      </c>
      <c r="J179">
        <v>71.400000000000006</v>
      </c>
      <c r="K179">
        <v>133.73804474216251</v>
      </c>
      <c r="L179">
        <v>100.1</v>
      </c>
      <c r="M179">
        <v>114.3</v>
      </c>
      <c r="N179">
        <v>133.4</v>
      </c>
      <c r="O179">
        <v>85.4</v>
      </c>
      <c r="P179">
        <v>116.5</v>
      </c>
      <c r="Q179">
        <v>104.2</v>
      </c>
      <c r="R179">
        <v>150.1</v>
      </c>
      <c r="S179">
        <v>112.4</v>
      </c>
      <c r="T179">
        <v>90.2</v>
      </c>
      <c r="U179">
        <v>96</v>
      </c>
      <c r="V179">
        <v>126.8</v>
      </c>
      <c r="W179">
        <v>115.1</v>
      </c>
      <c r="X179">
        <v>127.5</v>
      </c>
      <c r="Y179">
        <v>139.6</v>
      </c>
      <c r="Z179">
        <v>130.4</v>
      </c>
      <c r="AA179">
        <v>118.1</v>
      </c>
      <c r="AB179">
        <v>83.8</v>
      </c>
      <c r="AC179">
        <v>124</v>
      </c>
      <c r="AD179">
        <v>118.8</v>
      </c>
      <c r="AE179">
        <v>134.4</v>
      </c>
      <c r="AF179">
        <v>128.80000000000001</v>
      </c>
      <c r="AG179">
        <v>135</v>
      </c>
      <c r="AH179">
        <v>104.9</v>
      </c>
      <c r="AI179">
        <v>82.1</v>
      </c>
      <c r="AJ179">
        <v>130.9</v>
      </c>
      <c r="AK179">
        <v>93</v>
      </c>
      <c r="AL179">
        <v>81.900000000000006</v>
      </c>
      <c r="AM179">
        <v>118.3</v>
      </c>
      <c r="AN179">
        <v>110.2</v>
      </c>
      <c r="AP179" s="107"/>
    </row>
    <row r="180" spans="1:42">
      <c r="A180" s="106" cm="1">
        <f t="array" ref="A180:AN180">INDEX(INDICES,MATCH(EDATE(A179,1),'INDICES PRIX'!A:A,0),)</f>
        <v>46054</v>
      </c>
      <c r="B180" s="112">
        <v>125.9</v>
      </c>
      <c r="C180">
        <v>142.6</v>
      </c>
      <c r="D180">
        <v>137.9</v>
      </c>
      <c r="E180">
        <v>162.4</v>
      </c>
      <c r="F180">
        <v>103.42</v>
      </c>
      <c r="G180">
        <v>119.2</v>
      </c>
      <c r="H180">
        <v>125.7</v>
      </c>
      <c r="I180">
        <v>147.1</v>
      </c>
      <c r="J180">
        <v>80.7</v>
      </c>
      <c r="K180">
        <v>139.37546497387086</v>
      </c>
      <c r="L180">
        <v>101.1</v>
      </c>
      <c r="M180">
        <v>114.4</v>
      </c>
      <c r="N180">
        <v>133.4</v>
      </c>
      <c r="O180">
        <v>85.9</v>
      </c>
      <c r="P180">
        <v>118.3</v>
      </c>
      <c r="Q180">
        <v>103.4</v>
      </c>
      <c r="R180">
        <v>148.9</v>
      </c>
      <c r="S180">
        <v>112</v>
      </c>
      <c r="T180">
        <v>91.3</v>
      </c>
      <c r="U180">
        <v>97.3</v>
      </c>
      <c r="V180">
        <v>128.4</v>
      </c>
      <c r="W180">
        <v>114.3</v>
      </c>
      <c r="X180">
        <v>128.9</v>
      </c>
      <c r="Y180">
        <v>141.69999999999999</v>
      </c>
      <c r="Z180">
        <v>130.9</v>
      </c>
      <c r="AA180">
        <v>118.1</v>
      </c>
      <c r="AB180">
        <v>84.3</v>
      </c>
      <c r="AC180">
        <v>124.7</v>
      </c>
      <c r="AD180">
        <v>119.2</v>
      </c>
      <c r="AE180">
        <v>137.9</v>
      </c>
      <c r="AF180">
        <v>128.69999999999999</v>
      </c>
      <c r="AG180">
        <v>136.80000000000001</v>
      </c>
      <c r="AH180">
        <v>106.6</v>
      </c>
      <c r="AI180">
        <v>82.1</v>
      </c>
      <c r="AJ180">
        <v>130.30000000000001</v>
      </c>
      <c r="AK180">
        <v>94.8</v>
      </c>
      <c r="AL180">
        <v>83.7</v>
      </c>
      <c r="AM180">
        <v>119.3</v>
      </c>
      <c r="AN180">
        <v>111.9</v>
      </c>
      <c r="AP180" s="107"/>
    </row>
    <row r="181" spans="1:42">
      <c r="A181" s="106" cm="1">
        <f t="array" ref="A181:AN181">INDEX(INDICES,MATCH(EDATE(A180,1),'INDICES PRIX'!A:A,0),)</f>
        <v>46082</v>
      </c>
      <c r="B181" s="112">
        <v>126.5</v>
      </c>
      <c r="C181">
        <v>143</v>
      </c>
      <c r="D181">
        <v>138.19999999999999</v>
      </c>
      <c r="E181">
        <v>224.3</v>
      </c>
      <c r="F181">
        <v>126.08</v>
      </c>
      <c r="G181">
        <v>119.2</v>
      </c>
      <c r="H181">
        <v>125.7</v>
      </c>
      <c r="I181">
        <v>140.30000000000001</v>
      </c>
      <c r="J181">
        <v>93.9</v>
      </c>
      <c r="K181">
        <v>197.64653510476802</v>
      </c>
      <c r="L181">
        <v>102</v>
      </c>
      <c r="M181">
        <v>114.4</v>
      </c>
      <c r="N181">
        <v>133.69999999999999</v>
      </c>
      <c r="O181">
        <v>87.6</v>
      </c>
      <c r="P181">
        <v>118.5</v>
      </c>
      <c r="Q181">
        <v>104.6</v>
      </c>
      <c r="R181">
        <v>148.9</v>
      </c>
      <c r="S181">
        <v>112</v>
      </c>
      <c r="T181">
        <v>91.3</v>
      </c>
      <c r="U181">
        <v>109</v>
      </c>
      <c r="V181">
        <v>122.7</v>
      </c>
      <c r="W181">
        <v>115.4</v>
      </c>
      <c r="X181">
        <v>131.30000000000001</v>
      </c>
      <c r="Y181">
        <v>140.4</v>
      </c>
      <c r="Z181">
        <v>130.9</v>
      </c>
      <c r="AA181">
        <v>118.4</v>
      </c>
      <c r="AB181">
        <v>90.2</v>
      </c>
      <c r="AC181">
        <v>127</v>
      </c>
      <c r="AD181">
        <v>117.8</v>
      </c>
      <c r="AE181">
        <v>137.9</v>
      </c>
      <c r="AF181">
        <v>127</v>
      </c>
      <c r="AG181">
        <v>133.5</v>
      </c>
      <c r="AH181">
        <v>107.1</v>
      </c>
      <c r="AI181">
        <v>82.9</v>
      </c>
      <c r="AJ181">
        <v>126.5</v>
      </c>
      <c r="AK181">
        <v>95.9</v>
      </c>
      <c r="AL181">
        <v>84.8</v>
      </c>
      <c r="AM181">
        <v>118.4</v>
      </c>
      <c r="AN181">
        <v>113.1</v>
      </c>
      <c r="AP181" s="107"/>
    </row>
    <row r="182" spans="1:42">
      <c r="A182" s="106" cm="1">
        <f t="array" ref="A182:AN182">INDEX(INDICES,MATCH(EDATE(A181,1),'INDICES PRIX'!A:A,0),)</f>
        <v>46113</v>
      </c>
      <c r="B182" s="112">
        <v>128.1</v>
      </c>
      <c r="C182">
        <v>143</v>
      </c>
      <c r="D182">
        <v>138.19999999999999</v>
      </c>
      <c r="E182">
        <v>230.3</v>
      </c>
      <c r="F182">
        <v>138.74</v>
      </c>
      <c r="G182">
        <v>121.4</v>
      </c>
      <c r="H182">
        <v>129.19999999999999</v>
      </c>
      <c r="I182">
        <v>124.4</v>
      </c>
      <c r="J182">
        <v>122.2</v>
      </c>
      <c r="K182">
        <v>223.06810935718863</v>
      </c>
      <c r="L182">
        <v>108</v>
      </c>
      <c r="M182">
        <v>114.6</v>
      </c>
      <c r="N182">
        <v>137.5</v>
      </c>
      <c r="O182">
        <v>91.3</v>
      </c>
      <c r="P182">
        <v>121</v>
      </c>
      <c r="Q182">
        <v>111.3</v>
      </c>
      <c r="R182">
        <v>149.1</v>
      </c>
      <c r="S182">
        <v>114.8</v>
      </c>
      <c r="T182">
        <v>91.3</v>
      </c>
      <c r="U182">
        <v>149.80000000000001</v>
      </c>
      <c r="V182">
        <v>123.7</v>
      </c>
      <c r="W182">
        <v>117.1</v>
      </c>
      <c r="X182">
        <v>130.5</v>
      </c>
      <c r="Y182">
        <v>140</v>
      </c>
      <c r="Z182">
        <v>130.9</v>
      </c>
      <c r="AA182">
        <v>118.7</v>
      </c>
      <c r="AB182">
        <v>119.6</v>
      </c>
      <c r="AC182">
        <v>124</v>
      </c>
      <c r="AD182">
        <v>118.2</v>
      </c>
      <c r="AE182">
        <v>137.9</v>
      </c>
      <c r="AF182">
        <v>133.4</v>
      </c>
      <c r="AG182">
        <v>144.80000000000001</v>
      </c>
      <c r="AH182">
        <v>107.2</v>
      </c>
      <c r="AI182">
        <v>83.5</v>
      </c>
      <c r="AJ182">
        <v>127.4</v>
      </c>
      <c r="AK182">
        <v>99.9</v>
      </c>
      <c r="AL182">
        <v>87.3</v>
      </c>
      <c r="AM182">
        <v>119</v>
      </c>
      <c r="AN182">
        <v>115.1</v>
      </c>
      <c r="AP182" s="107"/>
    </row>
    <row r="183" spans="1:42">
      <c r="A183" s="108" cm="1">
        <f t="array" ref="A183:AN183">INDEX(INDICES,MATCH(EDATE(A182,1),'INDICES PRIX'!A:A,0),)</f>
        <v>46143</v>
      </c>
      <c r="B183" s="113">
        <v>127.8</v>
      </c>
      <c r="C183" s="109">
        <v>143</v>
      </c>
      <c r="D183" s="109">
        <v>138.19999999999999</v>
      </c>
      <c r="E183" s="109">
        <v>212.8</v>
      </c>
      <c r="F183" s="109">
        <v>131.69999999999999</v>
      </c>
      <c r="G183" s="109">
        <v>120.7</v>
      </c>
      <c r="H183" s="109">
        <v>129.19999999999999</v>
      </c>
      <c r="I183" s="109">
        <v>109.7</v>
      </c>
      <c r="J183" s="109">
        <v>109.8</v>
      </c>
      <c r="K183" s="109">
        <v>205.64174430131035</v>
      </c>
      <c r="L183" s="109">
        <v>119.5</v>
      </c>
      <c r="M183" s="109">
        <v>114.6</v>
      </c>
      <c r="N183" s="109">
        <v>136.5</v>
      </c>
      <c r="O183" s="109">
        <v>95.4</v>
      </c>
      <c r="P183" s="109">
        <v>120</v>
      </c>
      <c r="Q183" s="109">
        <v>120.4</v>
      </c>
      <c r="R183" s="109">
        <v>151.4</v>
      </c>
      <c r="S183" s="109">
        <v>118.6</v>
      </c>
      <c r="T183" s="109">
        <v>91.3</v>
      </c>
      <c r="U183" s="109">
        <v>149.4</v>
      </c>
      <c r="V183" s="109">
        <v>123</v>
      </c>
      <c r="W183" s="109">
        <v>117.5</v>
      </c>
      <c r="X183" s="109">
        <v>131.69999999999999</v>
      </c>
      <c r="Y183" s="109">
        <v>141.69999999999999</v>
      </c>
      <c r="Z183" s="109">
        <v>130.9</v>
      </c>
      <c r="AA183" s="109">
        <v>119.2</v>
      </c>
      <c r="AB183" s="109">
        <v>121.9</v>
      </c>
      <c r="AC183" s="109">
        <v>125.8</v>
      </c>
      <c r="AD183" s="109">
        <v>118.4</v>
      </c>
      <c r="AE183" s="109">
        <v>137.9</v>
      </c>
      <c r="AF183" s="109">
        <v>133.6</v>
      </c>
      <c r="AG183" s="109">
        <v>144.80000000000001</v>
      </c>
      <c r="AH183" s="109">
        <v>106.8</v>
      </c>
      <c r="AI183" s="109">
        <v>84</v>
      </c>
      <c r="AJ183" s="109">
        <v>129.4</v>
      </c>
      <c r="AK183" s="109">
        <v>101.3</v>
      </c>
      <c r="AL183" s="109">
        <v>89.3</v>
      </c>
      <c r="AM183" s="109">
        <v>119.2</v>
      </c>
      <c r="AN183" s="109">
        <v>116.9</v>
      </c>
      <c r="AO183" s="109"/>
      <c r="AP183" s="110"/>
    </row>
    <row r="184" spans="1:42">
      <c r="A184" s="95" t="s">
        <v>201</v>
      </c>
      <c r="B184">
        <f>SUM(B181:B183)</f>
        <v>382.4</v>
      </c>
      <c r="C184">
        <f>SUM(C181:C183)</f>
        <v>429</v>
      </c>
      <c r="D184">
        <f t="shared" ref="D184:AP184" si="32">SUM(D181:D183)</f>
        <v>414.59999999999997</v>
      </c>
      <c r="E184">
        <f t="shared" si="32"/>
        <v>667.40000000000009</v>
      </c>
      <c r="F184">
        <f t="shared" si="32"/>
        <v>396.52</v>
      </c>
      <c r="G184">
        <f t="shared" si="32"/>
        <v>361.3</v>
      </c>
      <c r="H184">
        <f t="shared" si="32"/>
        <v>384.09999999999997</v>
      </c>
      <c r="I184">
        <f t="shared" si="32"/>
        <v>374.40000000000003</v>
      </c>
      <c r="J184">
        <f t="shared" si="32"/>
        <v>325.90000000000003</v>
      </c>
      <c r="K184">
        <f t="shared" si="32"/>
        <v>626.35638876326698</v>
      </c>
      <c r="L184">
        <f t="shared" si="32"/>
        <v>329.5</v>
      </c>
      <c r="M184">
        <f t="shared" si="32"/>
        <v>343.6</v>
      </c>
      <c r="N184">
        <f t="shared" si="32"/>
        <v>407.7</v>
      </c>
      <c r="O184">
        <f t="shared" si="32"/>
        <v>274.29999999999995</v>
      </c>
      <c r="P184">
        <f t="shared" si="32"/>
        <v>359.5</v>
      </c>
      <c r="Q184">
        <f t="shared" si="32"/>
        <v>336.29999999999995</v>
      </c>
      <c r="R184">
        <f t="shared" si="32"/>
        <v>449.4</v>
      </c>
      <c r="S184">
        <f t="shared" si="32"/>
        <v>345.4</v>
      </c>
      <c r="T184">
        <f t="shared" si="32"/>
        <v>273.89999999999998</v>
      </c>
      <c r="U184">
        <f t="shared" si="32"/>
        <v>408.20000000000005</v>
      </c>
      <c r="V184">
        <f t="shared" si="32"/>
        <v>369.4</v>
      </c>
      <c r="W184">
        <f t="shared" si="32"/>
        <v>350</v>
      </c>
      <c r="X184">
        <f t="shared" si="32"/>
        <v>393.5</v>
      </c>
      <c r="Y184">
        <f t="shared" si="32"/>
        <v>422.09999999999997</v>
      </c>
      <c r="Z184">
        <f t="shared" si="32"/>
        <v>392.70000000000005</v>
      </c>
      <c r="AA184">
        <f t="shared" si="32"/>
        <v>356.3</v>
      </c>
      <c r="AB184">
        <f t="shared" si="32"/>
        <v>331.70000000000005</v>
      </c>
      <c r="AC184">
        <f t="shared" si="32"/>
        <v>376.8</v>
      </c>
      <c r="AD184">
        <f t="shared" si="32"/>
        <v>354.4</v>
      </c>
      <c r="AE184">
        <f t="shared" si="32"/>
        <v>413.70000000000005</v>
      </c>
      <c r="AF184">
        <f t="shared" si="32"/>
        <v>394</v>
      </c>
      <c r="AG184">
        <f t="shared" si="32"/>
        <v>423.1</v>
      </c>
      <c r="AH184">
        <f t="shared" si="32"/>
        <v>321.10000000000002</v>
      </c>
      <c r="AI184">
        <f t="shared" si="32"/>
        <v>250.4</v>
      </c>
      <c r="AJ184">
        <f t="shared" si="32"/>
        <v>383.3</v>
      </c>
      <c r="AK184">
        <f t="shared" si="32"/>
        <v>297.10000000000002</v>
      </c>
      <c r="AL184">
        <f t="shared" si="32"/>
        <v>261.39999999999998</v>
      </c>
      <c r="AM184">
        <f t="shared" si="32"/>
        <v>356.6</v>
      </c>
      <c r="AN184">
        <f t="shared" si="32"/>
        <v>345.1</v>
      </c>
      <c r="AO184">
        <f t="shared" si="32"/>
        <v>0</v>
      </c>
      <c r="AP184">
        <f t="shared" si="32"/>
        <v>0</v>
      </c>
    </row>
    <row r="185" spans="1:42">
      <c r="A185" s="95" t="s">
        <v>202</v>
      </c>
      <c r="B185">
        <f>SUM(B178:B180)</f>
        <v>379</v>
      </c>
      <c r="C185">
        <f>SUM(C178:C180)</f>
        <v>426.6</v>
      </c>
      <c r="D185">
        <f t="shared" ref="D185:AP185" si="33">SUM(D178:D180)</f>
        <v>412.9</v>
      </c>
      <c r="E185">
        <f t="shared" si="33"/>
        <v>458.1</v>
      </c>
      <c r="F185">
        <f t="shared" si="33"/>
        <v>302.72000000000003</v>
      </c>
      <c r="G185">
        <f t="shared" si="33"/>
        <v>356.9</v>
      </c>
      <c r="H185">
        <f t="shared" si="33"/>
        <v>376.8</v>
      </c>
      <c r="I185">
        <f t="shared" si="33"/>
        <v>449.1</v>
      </c>
      <c r="J185">
        <f t="shared" si="33"/>
        <v>226.60000000000002</v>
      </c>
      <c r="K185">
        <f t="shared" si="33"/>
        <v>398.64350971603335</v>
      </c>
      <c r="L185">
        <f t="shared" si="33"/>
        <v>301</v>
      </c>
      <c r="M185">
        <f t="shared" si="33"/>
        <v>342.5</v>
      </c>
      <c r="N185">
        <f t="shared" si="33"/>
        <v>398</v>
      </c>
      <c r="O185">
        <f t="shared" si="33"/>
        <v>256.89999999999998</v>
      </c>
      <c r="P185">
        <f t="shared" si="33"/>
        <v>351.4</v>
      </c>
      <c r="Q185">
        <f t="shared" si="33"/>
        <v>312.39999999999998</v>
      </c>
      <c r="R185">
        <f t="shared" si="33"/>
        <v>442.79999999999995</v>
      </c>
      <c r="S185">
        <f t="shared" si="33"/>
        <v>333.9</v>
      </c>
      <c r="T185">
        <f t="shared" si="33"/>
        <v>271.10000000000002</v>
      </c>
      <c r="U185">
        <f t="shared" si="33"/>
        <v>295</v>
      </c>
      <c r="V185">
        <f t="shared" si="33"/>
        <v>382.4</v>
      </c>
      <c r="W185">
        <f t="shared" si="33"/>
        <v>341.5</v>
      </c>
      <c r="X185">
        <f t="shared" si="33"/>
        <v>383.9</v>
      </c>
      <c r="Y185">
        <f t="shared" si="33"/>
        <v>419.4</v>
      </c>
      <c r="Z185">
        <f t="shared" si="33"/>
        <v>388.4</v>
      </c>
      <c r="AA185">
        <f t="shared" si="33"/>
        <v>353.2</v>
      </c>
      <c r="AB185">
        <f t="shared" si="33"/>
        <v>252.8</v>
      </c>
      <c r="AC185">
        <f t="shared" si="33"/>
        <v>371.4</v>
      </c>
      <c r="AD185">
        <f t="shared" si="33"/>
        <v>355.8</v>
      </c>
      <c r="AE185">
        <f t="shared" si="33"/>
        <v>398.6</v>
      </c>
      <c r="AF185">
        <f t="shared" si="33"/>
        <v>381.3</v>
      </c>
      <c r="AG185">
        <f t="shared" si="33"/>
        <v>399.40000000000003</v>
      </c>
      <c r="AH185">
        <f t="shared" si="33"/>
        <v>314.79999999999995</v>
      </c>
      <c r="AI185">
        <f t="shared" si="33"/>
        <v>246.99999999999997</v>
      </c>
      <c r="AJ185">
        <f t="shared" si="33"/>
        <v>393.6</v>
      </c>
      <c r="AK185">
        <f t="shared" si="33"/>
        <v>279</v>
      </c>
      <c r="AL185">
        <f t="shared" si="33"/>
        <v>246.7</v>
      </c>
      <c r="AM185">
        <f t="shared" si="33"/>
        <v>355.2</v>
      </c>
      <c r="AN185">
        <f t="shared" si="33"/>
        <v>330</v>
      </c>
      <c r="AO185">
        <f t="shared" si="33"/>
        <v>0</v>
      </c>
      <c r="AP185">
        <f t="shared" si="33"/>
        <v>0</v>
      </c>
    </row>
    <row r="187" spans="1:42">
      <c r="B187" s="241" t="s">
        <v>40</v>
      </c>
      <c r="C187" s="241"/>
      <c r="D187" s="241"/>
    </row>
    <row r="188" spans="1:42">
      <c r="A188" s="104" cm="1">
        <f t="array" ref="A188:AN188">INDEX(INDICES,MATCH(EDATE(DATE4,-11),'INDICES PRIX'!A:A,0),)</f>
        <v>45809</v>
      </c>
      <c r="B188" s="43">
        <v>126</v>
      </c>
      <c r="C188" s="43">
        <v>138.69999999999999</v>
      </c>
      <c r="D188" s="43">
        <v>135.80000000000001</v>
      </c>
      <c r="E188" s="43">
        <v>143.9</v>
      </c>
      <c r="F188" s="43">
        <v>98.01</v>
      </c>
      <c r="G188" s="43">
        <v>119.2</v>
      </c>
      <c r="H188" s="43">
        <v>125.5</v>
      </c>
      <c r="I188" s="43">
        <v>96.2</v>
      </c>
      <c r="J188" s="43">
        <v>86.2</v>
      </c>
      <c r="K188" s="43">
        <v>127.85</v>
      </c>
      <c r="L188" s="43">
        <v>103.6</v>
      </c>
      <c r="M188" s="43">
        <v>113.4</v>
      </c>
      <c r="N188" s="43">
        <v>130.69999999999999</v>
      </c>
      <c r="O188" s="43">
        <v>89.4</v>
      </c>
      <c r="P188" s="43">
        <v>115.2</v>
      </c>
      <c r="Q188" s="43">
        <v>107.7</v>
      </c>
      <c r="R188" s="43">
        <v>145.4</v>
      </c>
      <c r="S188" s="43">
        <v>110.9</v>
      </c>
      <c r="T188" s="43">
        <v>93.4</v>
      </c>
      <c r="U188" s="43">
        <v>115.4</v>
      </c>
      <c r="V188" s="43">
        <v>130.30000000000001</v>
      </c>
      <c r="W188" s="43">
        <v>114.5</v>
      </c>
      <c r="X188" s="43">
        <v>129.80000000000001</v>
      </c>
      <c r="Y188" s="43">
        <v>140.19999999999999</v>
      </c>
      <c r="Z188" s="43">
        <v>129.69999999999999</v>
      </c>
      <c r="AA188" s="43">
        <v>116.4</v>
      </c>
      <c r="AB188" s="43">
        <v>93</v>
      </c>
      <c r="AC188" s="43">
        <v>120.7</v>
      </c>
      <c r="AD188" s="43">
        <v>119.1</v>
      </c>
      <c r="AE188" s="43">
        <v>126</v>
      </c>
      <c r="AF188" s="43">
        <v>119.2</v>
      </c>
      <c r="AG188" s="43">
        <v>122.3</v>
      </c>
      <c r="AH188" s="43">
        <v>108.9</v>
      </c>
      <c r="AI188" s="43">
        <v>83.5</v>
      </c>
      <c r="AJ188" s="43">
        <v>136.30000000000001</v>
      </c>
      <c r="AK188" s="43">
        <v>94.7</v>
      </c>
      <c r="AL188" s="43">
        <v>82.5</v>
      </c>
      <c r="AM188" s="43">
        <v>118.3</v>
      </c>
      <c r="AN188" s="43">
        <v>108.9</v>
      </c>
      <c r="AO188" s="43"/>
      <c r="AP188" s="7"/>
    </row>
    <row r="189" spans="1:42">
      <c r="A189" s="106" cm="1">
        <f t="array" ref="A189:AN189">INDEX(INDICES,MATCH(EDATE(A188,1),'INDICES PRIX'!A:A,0),)</f>
        <v>45839</v>
      </c>
      <c r="B189">
        <v>125.5</v>
      </c>
      <c r="C189">
        <v>139</v>
      </c>
      <c r="D189">
        <v>136</v>
      </c>
      <c r="E189">
        <v>147.30000000000001</v>
      </c>
      <c r="F189">
        <v>100.68</v>
      </c>
      <c r="G189">
        <v>121.2</v>
      </c>
      <c r="H189">
        <v>125.3</v>
      </c>
      <c r="I189">
        <v>99.2</v>
      </c>
      <c r="J189">
        <v>86.6</v>
      </c>
      <c r="K189">
        <v>132.49710318172353</v>
      </c>
      <c r="L189">
        <v>101</v>
      </c>
      <c r="M189">
        <v>112.9</v>
      </c>
      <c r="N189">
        <v>131.30000000000001</v>
      </c>
      <c r="O189">
        <v>88.6</v>
      </c>
      <c r="P189">
        <v>115.2</v>
      </c>
      <c r="Q189">
        <v>107</v>
      </c>
      <c r="R189">
        <v>144</v>
      </c>
      <c r="S189">
        <v>108.8</v>
      </c>
      <c r="T189">
        <v>92.7</v>
      </c>
      <c r="U189">
        <v>118.8</v>
      </c>
      <c r="V189">
        <v>132.19999999999999</v>
      </c>
      <c r="W189">
        <v>113.9</v>
      </c>
      <c r="X189">
        <v>129.30000000000001</v>
      </c>
      <c r="Y189">
        <v>138.9</v>
      </c>
      <c r="Z189">
        <v>129.9</v>
      </c>
      <c r="AA189">
        <v>116.5</v>
      </c>
      <c r="AB189">
        <v>90.4</v>
      </c>
      <c r="AC189">
        <v>121</v>
      </c>
      <c r="AD189">
        <v>119.7</v>
      </c>
      <c r="AE189">
        <v>125.5</v>
      </c>
      <c r="AF189">
        <v>121.5</v>
      </c>
      <c r="AG189">
        <v>124.8</v>
      </c>
      <c r="AH189">
        <v>107.6</v>
      </c>
      <c r="AI189">
        <v>82.4</v>
      </c>
      <c r="AJ189">
        <v>137.80000000000001</v>
      </c>
      <c r="AK189">
        <v>94.6</v>
      </c>
      <c r="AL189">
        <v>82.1</v>
      </c>
      <c r="AM189">
        <v>118.1</v>
      </c>
      <c r="AN189">
        <v>108.3</v>
      </c>
      <c r="AP189" s="107"/>
    </row>
    <row r="190" spans="1:42">
      <c r="A190" s="106" cm="1">
        <f t="array" ref="A190:AN190">INDEX(INDICES,MATCH(EDATE(A189,1),'INDICES PRIX'!A:A,0),)</f>
        <v>45870</v>
      </c>
      <c r="B190">
        <v>128.4</v>
      </c>
      <c r="C190">
        <v>139.30000000000001</v>
      </c>
      <c r="D190">
        <v>136.30000000000001</v>
      </c>
      <c r="E190">
        <v>143.30000000000001</v>
      </c>
      <c r="F190">
        <v>98.92</v>
      </c>
      <c r="G190">
        <v>121</v>
      </c>
      <c r="H190">
        <v>125.3</v>
      </c>
      <c r="I190">
        <v>106.4</v>
      </c>
      <c r="J190">
        <v>80.7</v>
      </c>
      <c r="K190">
        <v>128.22471866649806</v>
      </c>
      <c r="L190">
        <v>101.8</v>
      </c>
      <c r="M190">
        <v>112.9</v>
      </c>
      <c r="N190">
        <v>132.69999999999999</v>
      </c>
      <c r="O190">
        <v>87.8</v>
      </c>
      <c r="P190">
        <v>116.8</v>
      </c>
      <c r="Q190">
        <v>107.3</v>
      </c>
      <c r="R190">
        <v>143</v>
      </c>
      <c r="S190">
        <v>109.6</v>
      </c>
      <c r="T190">
        <v>91.4</v>
      </c>
      <c r="U190">
        <v>114</v>
      </c>
      <c r="V190">
        <v>133.6</v>
      </c>
      <c r="W190">
        <v>114.9</v>
      </c>
      <c r="X190">
        <v>129.4</v>
      </c>
      <c r="Y190">
        <v>140.30000000000001</v>
      </c>
      <c r="Z190">
        <v>129.30000000000001</v>
      </c>
      <c r="AA190">
        <v>116.9</v>
      </c>
      <c r="AB190">
        <v>88.7</v>
      </c>
      <c r="AC190">
        <v>121.3</v>
      </c>
      <c r="AD190">
        <v>119.9</v>
      </c>
      <c r="AE190">
        <v>125.7</v>
      </c>
      <c r="AF190">
        <v>120.4</v>
      </c>
      <c r="AG190">
        <v>124.9</v>
      </c>
      <c r="AH190">
        <v>106.3</v>
      </c>
      <c r="AI190">
        <v>82.4</v>
      </c>
      <c r="AJ190">
        <v>137.9</v>
      </c>
      <c r="AK190">
        <v>92.1</v>
      </c>
      <c r="AL190">
        <v>79</v>
      </c>
      <c r="AM190">
        <v>118.8</v>
      </c>
      <c r="AN190">
        <v>108.2</v>
      </c>
      <c r="AP190" s="107"/>
    </row>
    <row r="191" spans="1:42">
      <c r="A191" s="106" cm="1">
        <f t="array" ref="A191:AN191">INDEX(INDICES,MATCH(EDATE(A190,1),'INDICES PRIX'!A:A,0),)</f>
        <v>45901</v>
      </c>
      <c r="B191">
        <v>126.8</v>
      </c>
      <c r="C191">
        <v>139.69999999999999</v>
      </c>
      <c r="D191">
        <v>136.5</v>
      </c>
      <c r="E191">
        <v>145.1</v>
      </c>
      <c r="F191">
        <v>99.17</v>
      </c>
      <c r="G191">
        <v>118.1</v>
      </c>
      <c r="H191">
        <v>125.3</v>
      </c>
      <c r="I191">
        <v>107.4</v>
      </c>
      <c r="J191">
        <v>78.7</v>
      </c>
      <c r="K191">
        <v>129.37702154404852</v>
      </c>
      <c r="L191">
        <v>101.9</v>
      </c>
      <c r="M191">
        <v>112.9</v>
      </c>
      <c r="N191">
        <v>131.30000000000001</v>
      </c>
      <c r="O191">
        <v>87.7</v>
      </c>
      <c r="P191">
        <v>115.8</v>
      </c>
      <c r="Q191">
        <v>106.2</v>
      </c>
      <c r="R191">
        <v>143.6</v>
      </c>
      <c r="S191">
        <v>106.9</v>
      </c>
      <c r="T191">
        <v>90.7</v>
      </c>
      <c r="U191">
        <v>109.8</v>
      </c>
      <c r="V191">
        <v>130.69999999999999</v>
      </c>
      <c r="W191">
        <v>114.1</v>
      </c>
      <c r="X191">
        <v>129.1</v>
      </c>
      <c r="Y191">
        <v>140.4</v>
      </c>
      <c r="Z191">
        <v>127</v>
      </c>
      <c r="AA191">
        <v>116.9</v>
      </c>
      <c r="AB191">
        <v>88</v>
      </c>
      <c r="AC191">
        <v>121.4</v>
      </c>
      <c r="AD191">
        <v>118.3</v>
      </c>
      <c r="AE191">
        <v>124.1</v>
      </c>
      <c r="AF191">
        <v>122.2</v>
      </c>
      <c r="AG191">
        <v>128.19999999999999</v>
      </c>
      <c r="AH191">
        <v>107.6</v>
      </c>
      <c r="AI191">
        <v>82.4</v>
      </c>
      <c r="AJ191">
        <v>134.69999999999999</v>
      </c>
      <c r="AK191">
        <v>92.1</v>
      </c>
      <c r="AL191">
        <v>80.099999999999994</v>
      </c>
      <c r="AM191">
        <v>118.5</v>
      </c>
      <c r="AN191">
        <v>107.1</v>
      </c>
      <c r="AP191" s="107"/>
    </row>
    <row r="192" spans="1:42">
      <c r="A192" s="106" cm="1">
        <f t="array" ref="A192:AN192">INDEX(INDICES,MATCH(EDATE(A191,1),'INDICES PRIX'!A:A,0),)</f>
        <v>45931</v>
      </c>
      <c r="B192">
        <v>126.7</v>
      </c>
      <c r="C192">
        <v>140.4</v>
      </c>
      <c r="D192">
        <v>136.80000000000001</v>
      </c>
      <c r="E192">
        <v>143.4</v>
      </c>
      <c r="F192">
        <v>98.62</v>
      </c>
      <c r="G192">
        <v>119.5</v>
      </c>
      <c r="H192">
        <v>125.4</v>
      </c>
      <c r="I192">
        <v>109.5</v>
      </c>
      <c r="J192">
        <v>77.599999999999994</v>
      </c>
      <c r="K192">
        <v>128.47290697858585</v>
      </c>
      <c r="L192">
        <v>100.9</v>
      </c>
      <c r="M192">
        <v>113.8</v>
      </c>
      <c r="N192">
        <v>131.69999999999999</v>
      </c>
      <c r="O192">
        <v>86.4</v>
      </c>
      <c r="P192">
        <v>116</v>
      </c>
      <c r="Q192">
        <v>105.8</v>
      </c>
      <c r="R192">
        <v>143.30000000000001</v>
      </c>
      <c r="S192">
        <v>107</v>
      </c>
      <c r="T192">
        <v>90.4</v>
      </c>
      <c r="U192">
        <v>106.7</v>
      </c>
      <c r="V192">
        <v>132.30000000000001</v>
      </c>
      <c r="W192">
        <v>114.7</v>
      </c>
      <c r="X192">
        <v>127</v>
      </c>
      <c r="Y192">
        <v>139</v>
      </c>
      <c r="Z192">
        <v>126.5</v>
      </c>
      <c r="AA192">
        <v>116.5</v>
      </c>
      <c r="AB192">
        <v>88.3</v>
      </c>
      <c r="AC192">
        <v>121.8</v>
      </c>
      <c r="AD192">
        <v>117.7</v>
      </c>
      <c r="AE192">
        <v>123.9</v>
      </c>
      <c r="AF192">
        <v>121.3</v>
      </c>
      <c r="AG192">
        <v>123.8</v>
      </c>
      <c r="AH192">
        <v>106.5</v>
      </c>
      <c r="AI192">
        <v>82.9</v>
      </c>
      <c r="AJ192">
        <v>134.80000000000001</v>
      </c>
      <c r="AK192">
        <v>91.3</v>
      </c>
      <c r="AL192">
        <v>78.5</v>
      </c>
      <c r="AM192">
        <v>118.2</v>
      </c>
      <c r="AN192">
        <v>107</v>
      </c>
      <c r="AP192" s="107"/>
    </row>
    <row r="193" spans="1:42">
      <c r="A193" s="106" cm="1">
        <f t="array" ref="A193:AN193">INDEX(INDICES,MATCH(EDATE(A192,1),'INDICES PRIX'!A:A,0),)</f>
        <v>45962</v>
      </c>
      <c r="B193">
        <v>126.2</v>
      </c>
      <c r="C193">
        <v>141.1</v>
      </c>
      <c r="D193">
        <v>137.1</v>
      </c>
      <c r="E193">
        <v>149.6</v>
      </c>
      <c r="F193">
        <v>102.87</v>
      </c>
      <c r="G193">
        <v>118.2</v>
      </c>
      <c r="H193">
        <v>125.4</v>
      </c>
      <c r="I193">
        <v>123.6</v>
      </c>
      <c r="J193">
        <v>75.7</v>
      </c>
      <c r="K193">
        <v>139.23364308124926</v>
      </c>
      <c r="L193">
        <v>100.7</v>
      </c>
      <c r="M193">
        <v>113.8</v>
      </c>
      <c r="N193">
        <v>131.6</v>
      </c>
      <c r="O193">
        <v>85.7</v>
      </c>
      <c r="P193">
        <v>115.9</v>
      </c>
      <c r="Q193">
        <v>105.1</v>
      </c>
      <c r="R193">
        <v>143.9</v>
      </c>
      <c r="S193">
        <v>110</v>
      </c>
      <c r="T193">
        <v>89.8</v>
      </c>
      <c r="U193">
        <v>107</v>
      </c>
      <c r="V193">
        <v>127.8</v>
      </c>
      <c r="W193">
        <v>114.2</v>
      </c>
      <c r="X193">
        <v>128.19999999999999</v>
      </c>
      <c r="Y193">
        <v>139.5</v>
      </c>
      <c r="Z193">
        <v>127.9</v>
      </c>
      <c r="AA193">
        <v>116.7</v>
      </c>
      <c r="AB193">
        <v>86.1</v>
      </c>
      <c r="AC193">
        <v>122.7</v>
      </c>
      <c r="AD193">
        <v>117.5</v>
      </c>
      <c r="AE193">
        <v>125.5</v>
      </c>
      <c r="AF193">
        <v>123.2</v>
      </c>
      <c r="AG193">
        <v>126.9</v>
      </c>
      <c r="AH193">
        <v>106.1</v>
      </c>
      <c r="AI193">
        <v>82.6</v>
      </c>
      <c r="AJ193">
        <v>130.1</v>
      </c>
      <c r="AK193">
        <v>90.3</v>
      </c>
      <c r="AL193">
        <v>79.599999999999994</v>
      </c>
      <c r="AM193">
        <v>117.6</v>
      </c>
      <c r="AN193">
        <v>107.1</v>
      </c>
      <c r="AP193" s="107"/>
    </row>
    <row r="194" spans="1:42">
      <c r="A194" s="106" cm="1">
        <f t="array" ref="A194:AN194">INDEX(INDICES,MATCH(EDATE(A193,1),'INDICES PRIX'!A:A,0),)</f>
        <v>45992</v>
      </c>
      <c r="B194">
        <v>125.5</v>
      </c>
      <c r="C194">
        <v>141.80000000000001</v>
      </c>
      <c r="D194">
        <v>137.4</v>
      </c>
      <c r="E194">
        <v>136.69999999999999</v>
      </c>
      <c r="F194">
        <v>98.39</v>
      </c>
      <c r="G194">
        <v>119.7</v>
      </c>
      <c r="H194">
        <v>125.4</v>
      </c>
      <c r="I194">
        <v>146.19999999999999</v>
      </c>
      <c r="J194">
        <v>74.5</v>
      </c>
      <c r="K194">
        <v>125.53</v>
      </c>
      <c r="L194">
        <v>99.8</v>
      </c>
      <c r="M194">
        <v>113.8</v>
      </c>
      <c r="N194">
        <v>131.19999999999999</v>
      </c>
      <c r="O194">
        <v>85.6</v>
      </c>
      <c r="P194">
        <v>116.6</v>
      </c>
      <c r="Q194">
        <v>104.8</v>
      </c>
      <c r="R194">
        <v>143.80000000000001</v>
      </c>
      <c r="S194">
        <v>109.5</v>
      </c>
      <c r="T194">
        <v>89.6</v>
      </c>
      <c r="U194">
        <v>101.7</v>
      </c>
      <c r="V194">
        <v>127.2</v>
      </c>
      <c r="W194">
        <v>112.1</v>
      </c>
      <c r="X194">
        <v>127.5</v>
      </c>
      <c r="Y194">
        <v>138.1</v>
      </c>
      <c r="Z194">
        <v>127.1</v>
      </c>
      <c r="AA194">
        <v>117</v>
      </c>
      <c r="AB194">
        <v>84.7</v>
      </c>
      <c r="AC194">
        <v>122.7</v>
      </c>
      <c r="AD194">
        <v>117.8</v>
      </c>
      <c r="AE194">
        <v>126.3</v>
      </c>
      <c r="AF194">
        <v>123.8</v>
      </c>
      <c r="AG194">
        <v>127.6</v>
      </c>
      <c r="AH194">
        <v>103.3</v>
      </c>
      <c r="AI194">
        <v>82.8</v>
      </c>
      <c r="AJ194">
        <v>132.4</v>
      </c>
      <c r="AK194">
        <v>91.2</v>
      </c>
      <c r="AL194">
        <v>81.099999999999994</v>
      </c>
      <c r="AM194">
        <v>117.6</v>
      </c>
      <c r="AN194">
        <v>107.9</v>
      </c>
      <c r="AP194" s="107"/>
    </row>
    <row r="195" spans="1:42">
      <c r="A195" s="106" cm="1">
        <f t="array" ref="A195:AN195">INDEX(INDICES,MATCH(EDATE(A194,1),'INDICES PRIX'!A:A,0),)</f>
        <v>46023</v>
      </c>
      <c r="B195">
        <v>127.6</v>
      </c>
      <c r="C195">
        <v>142.19999999999999</v>
      </c>
      <c r="D195">
        <v>137.6</v>
      </c>
      <c r="E195">
        <v>159</v>
      </c>
      <c r="F195">
        <v>100.91</v>
      </c>
      <c r="G195">
        <v>118</v>
      </c>
      <c r="H195">
        <v>125.7</v>
      </c>
      <c r="I195">
        <v>155.80000000000001</v>
      </c>
      <c r="J195">
        <v>71.400000000000006</v>
      </c>
      <c r="K195">
        <v>133.73804474216251</v>
      </c>
      <c r="L195">
        <v>100.1</v>
      </c>
      <c r="M195">
        <v>114.3</v>
      </c>
      <c r="N195">
        <v>133.4</v>
      </c>
      <c r="O195">
        <v>85.4</v>
      </c>
      <c r="P195">
        <v>116.5</v>
      </c>
      <c r="Q195">
        <v>104.2</v>
      </c>
      <c r="R195">
        <v>150.1</v>
      </c>
      <c r="S195">
        <v>112.4</v>
      </c>
      <c r="T195">
        <v>90.2</v>
      </c>
      <c r="U195">
        <v>96</v>
      </c>
      <c r="V195">
        <v>126.8</v>
      </c>
      <c r="W195">
        <v>115.1</v>
      </c>
      <c r="X195">
        <v>127.5</v>
      </c>
      <c r="Y195">
        <v>139.6</v>
      </c>
      <c r="Z195">
        <v>130.4</v>
      </c>
      <c r="AA195">
        <v>118.1</v>
      </c>
      <c r="AB195">
        <v>83.8</v>
      </c>
      <c r="AC195">
        <v>124</v>
      </c>
      <c r="AD195">
        <v>118.8</v>
      </c>
      <c r="AE195">
        <v>134.4</v>
      </c>
      <c r="AF195">
        <v>128.80000000000001</v>
      </c>
      <c r="AG195">
        <v>135</v>
      </c>
      <c r="AH195">
        <v>104.9</v>
      </c>
      <c r="AI195">
        <v>82.1</v>
      </c>
      <c r="AJ195">
        <v>130.9</v>
      </c>
      <c r="AK195">
        <v>93</v>
      </c>
      <c r="AL195">
        <v>81.900000000000006</v>
      </c>
      <c r="AM195">
        <v>118.3</v>
      </c>
      <c r="AN195">
        <v>110.2</v>
      </c>
      <c r="AP195" s="107"/>
    </row>
    <row r="196" spans="1:42">
      <c r="A196" s="106" cm="1">
        <f t="array" ref="A196:AN196">INDEX(INDICES,MATCH(EDATE(A195,1),'INDICES PRIX'!A:A,0),)</f>
        <v>46054</v>
      </c>
      <c r="B196">
        <v>125.9</v>
      </c>
      <c r="C196">
        <v>142.6</v>
      </c>
      <c r="D196">
        <v>137.9</v>
      </c>
      <c r="E196">
        <v>162.4</v>
      </c>
      <c r="F196">
        <v>103.42</v>
      </c>
      <c r="G196">
        <v>119.2</v>
      </c>
      <c r="H196">
        <v>125.7</v>
      </c>
      <c r="I196">
        <v>147.1</v>
      </c>
      <c r="J196">
        <v>80.7</v>
      </c>
      <c r="K196">
        <v>139.37546497387086</v>
      </c>
      <c r="L196">
        <v>101.1</v>
      </c>
      <c r="M196">
        <v>114.4</v>
      </c>
      <c r="N196">
        <v>133.4</v>
      </c>
      <c r="O196">
        <v>85.9</v>
      </c>
      <c r="P196">
        <v>118.3</v>
      </c>
      <c r="Q196">
        <v>103.4</v>
      </c>
      <c r="R196">
        <v>148.9</v>
      </c>
      <c r="S196">
        <v>112</v>
      </c>
      <c r="T196">
        <v>91.3</v>
      </c>
      <c r="U196">
        <v>97.3</v>
      </c>
      <c r="V196">
        <v>128.4</v>
      </c>
      <c r="W196">
        <v>114.3</v>
      </c>
      <c r="X196">
        <v>128.9</v>
      </c>
      <c r="Y196">
        <v>141.69999999999999</v>
      </c>
      <c r="Z196">
        <v>130.9</v>
      </c>
      <c r="AA196">
        <v>118.1</v>
      </c>
      <c r="AB196">
        <v>84.3</v>
      </c>
      <c r="AC196">
        <v>124.7</v>
      </c>
      <c r="AD196">
        <v>119.2</v>
      </c>
      <c r="AE196">
        <v>137.9</v>
      </c>
      <c r="AF196">
        <v>128.69999999999999</v>
      </c>
      <c r="AG196">
        <v>136.80000000000001</v>
      </c>
      <c r="AH196">
        <v>106.6</v>
      </c>
      <c r="AI196">
        <v>82.1</v>
      </c>
      <c r="AJ196">
        <v>130.30000000000001</v>
      </c>
      <c r="AK196">
        <v>94.8</v>
      </c>
      <c r="AL196">
        <v>83.7</v>
      </c>
      <c r="AM196">
        <v>119.3</v>
      </c>
      <c r="AN196">
        <v>111.9</v>
      </c>
      <c r="AP196" s="107"/>
    </row>
    <row r="197" spans="1:42">
      <c r="A197" s="106" cm="1">
        <f t="array" ref="A197:AN197">INDEX(INDICES,MATCH(EDATE(A196,1),'INDICES PRIX'!A:A,0),)</f>
        <v>46082</v>
      </c>
      <c r="B197">
        <v>126.5</v>
      </c>
      <c r="C197">
        <v>143</v>
      </c>
      <c r="D197">
        <v>138.19999999999999</v>
      </c>
      <c r="E197">
        <v>224.3</v>
      </c>
      <c r="F197">
        <v>126.08</v>
      </c>
      <c r="G197">
        <v>119.2</v>
      </c>
      <c r="H197">
        <v>125.7</v>
      </c>
      <c r="I197">
        <v>140.30000000000001</v>
      </c>
      <c r="J197">
        <v>93.9</v>
      </c>
      <c r="K197">
        <v>197.64653510476802</v>
      </c>
      <c r="L197">
        <v>102</v>
      </c>
      <c r="M197">
        <v>114.4</v>
      </c>
      <c r="N197">
        <v>133.69999999999999</v>
      </c>
      <c r="O197">
        <v>87.6</v>
      </c>
      <c r="P197">
        <v>118.5</v>
      </c>
      <c r="Q197">
        <v>104.6</v>
      </c>
      <c r="R197">
        <v>148.9</v>
      </c>
      <c r="S197">
        <v>112</v>
      </c>
      <c r="T197">
        <v>91.3</v>
      </c>
      <c r="U197">
        <v>109</v>
      </c>
      <c r="V197">
        <v>122.7</v>
      </c>
      <c r="W197">
        <v>115.4</v>
      </c>
      <c r="X197">
        <v>131.30000000000001</v>
      </c>
      <c r="Y197">
        <v>140.4</v>
      </c>
      <c r="Z197">
        <v>130.9</v>
      </c>
      <c r="AA197">
        <v>118.4</v>
      </c>
      <c r="AB197">
        <v>90.2</v>
      </c>
      <c r="AC197">
        <v>127</v>
      </c>
      <c r="AD197">
        <v>117.8</v>
      </c>
      <c r="AE197">
        <v>137.9</v>
      </c>
      <c r="AF197">
        <v>127</v>
      </c>
      <c r="AG197">
        <v>133.5</v>
      </c>
      <c r="AH197">
        <v>107.1</v>
      </c>
      <c r="AI197">
        <v>82.9</v>
      </c>
      <c r="AJ197">
        <v>126.5</v>
      </c>
      <c r="AK197">
        <v>95.9</v>
      </c>
      <c r="AL197">
        <v>84.8</v>
      </c>
      <c r="AM197">
        <v>118.4</v>
      </c>
      <c r="AN197">
        <v>113.1</v>
      </c>
      <c r="AP197" s="107"/>
    </row>
    <row r="198" spans="1:42">
      <c r="A198" s="106" cm="1">
        <f t="array" ref="A198:AN198">INDEX(INDICES,MATCH(EDATE(A197,1),'INDICES PRIX'!A:A,0),)</f>
        <v>46113</v>
      </c>
      <c r="B198">
        <v>128.1</v>
      </c>
      <c r="C198">
        <v>143</v>
      </c>
      <c r="D198">
        <v>138.19999999999999</v>
      </c>
      <c r="E198">
        <v>230.3</v>
      </c>
      <c r="F198">
        <v>138.74</v>
      </c>
      <c r="G198">
        <v>121.4</v>
      </c>
      <c r="H198">
        <v>129.19999999999999</v>
      </c>
      <c r="I198">
        <v>124.4</v>
      </c>
      <c r="J198">
        <v>122.2</v>
      </c>
      <c r="K198">
        <v>223.06810935718863</v>
      </c>
      <c r="L198">
        <v>108</v>
      </c>
      <c r="M198">
        <v>114.6</v>
      </c>
      <c r="N198">
        <v>137.5</v>
      </c>
      <c r="O198">
        <v>91.3</v>
      </c>
      <c r="P198">
        <v>121</v>
      </c>
      <c r="Q198">
        <v>111.3</v>
      </c>
      <c r="R198">
        <v>149.1</v>
      </c>
      <c r="S198">
        <v>114.8</v>
      </c>
      <c r="T198">
        <v>91.3</v>
      </c>
      <c r="U198">
        <v>149.80000000000001</v>
      </c>
      <c r="V198">
        <v>123.7</v>
      </c>
      <c r="W198">
        <v>117.1</v>
      </c>
      <c r="X198">
        <v>130.5</v>
      </c>
      <c r="Y198">
        <v>140</v>
      </c>
      <c r="Z198">
        <v>130.9</v>
      </c>
      <c r="AA198">
        <v>118.7</v>
      </c>
      <c r="AB198">
        <v>119.6</v>
      </c>
      <c r="AC198">
        <v>124</v>
      </c>
      <c r="AD198">
        <v>118.2</v>
      </c>
      <c r="AE198">
        <v>137.9</v>
      </c>
      <c r="AF198">
        <v>133.4</v>
      </c>
      <c r="AG198">
        <v>144.80000000000001</v>
      </c>
      <c r="AH198">
        <v>107.2</v>
      </c>
      <c r="AI198">
        <v>83.5</v>
      </c>
      <c r="AJ198">
        <v>127.4</v>
      </c>
      <c r="AK198">
        <v>99.9</v>
      </c>
      <c r="AL198">
        <v>87.3</v>
      </c>
      <c r="AM198">
        <v>119</v>
      </c>
      <c r="AN198">
        <v>115.1</v>
      </c>
      <c r="AP198" s="107"/>
    </row>
    <row r="199" spans="1:42">
      <c r="A199" s="108" cm="1">
        <f t="array" ref="A199:AN199">INDEX(INDICES,MATCH(EDATE(A198,1),'INDICES PRIX'!A:A,0),)</f>
        <v>46143</v>
      </c>
      <c r="B199" s="109">
        <v>127.8</v>
      </c>
      <c r="C199" s="109">
        <v>143</v>
      </c>
      <c r="D199" s="109">
        <v>138.19999999999999</v>
      </c>
      <c r="E199" s="109">
        <v>212.8</v>
      </c>
      <c r="F199" s="109">
        <v>131.69999999999999</v>
      </c>
      <c r="G199" s="109">
        <v>120.7</v>
      </c>
      <c r="H199" s="109">
        <v>129.19999999999999</v>
      </c>
      <c r="I199" s="109">
        <v>109.7</v>
      </c>
      <c r="J199" s="109">
        <v>109.8</v>
      </c>
      <c r="K199" s="109">
        <v>205.64174430131035</v>
      </c>
      <c r="L199" s="109">
        <v>119.5</v>
      </c>
      <c r="M199" s="109">
        <v>114.6</v>
      </c>
      <c r="N199" s="109">
        <v>136.5</v>
      </c>
      <c r="O199" s="109">
        <v>95.4</v>
      </c>
      <c r="P199" s="109">
        <v>120</v>
      </c>
      <c r="Q199" s="109">
        <v>120.4</v>
      </c>
      <c r="R199" s="109">
        <v>151.4</v>
      </c>
      <c r="S199" s="109">
        <v>118.6</v>
      </c>
      <c r="T199" s="109">
        <v>91.3</v>
      </c>
      <c r="U199" s="109">
        <v>149.4</v>
      </c>
      <c r="V199" s="109">
        <v>123</v>
      </c>
      <c r="W199" s="109">
        <v>117.5</v>
      </c>
      <c r="X199" s="109">
        <v>131.69999999999999</v>
      </c>
      <c r="Y199" s="109">
        <v>141.69999999999999</v>
      </c>
      <c r="Z199" s="109">
        <v>130.9</v>
      </c>
      <c r="AA199" s="109">
        <v>119.2</v>
      </c>
      <c r="AB199" s="109">
        <v>121.9</v>
      </c>
      <c r="AC199" s="109">
        <v>125.8</v>
      </c>
      <c r="AD199" s="109">
        <v>118.4</v>
      </c>
      <c r="AE199" s="109">
        <v>137.9</v>
      </c>
      <c r="AF199" s="109">
        <v>133.6</v>
      </c>
      <c r="AG199" s="109">
        <v>144.80000000000001</v>
      </c>
      <c r="AH199" s="109">
        <v>106.8</v>
      </c>
      <c r="AI199" s="109">
        <v>84</v>
      </c>
      <c r="AJ199" s="109">
        <v>129.4</v>
      </c>
      <c r="AK199" s="109">
        <v>101.3</v>
      </c>
      <c r="AL199" s="109">
        <v>89.3</v>
      </c>
      <c r="AM199" s="109">
        <v>119.2</v>
      </c>
      <c r="AN199" s="109">
        <v>116.9</v>
      </c>
      <c r="AO199" s="109"/>
      <c r="AP199" s="110"/>
    </row>
    <row r="200" spans="1:42">
      <c r="A200" s="95" t="s">
        <v>201</v>
      </c>
      <c r="B200">
        <f>SUM(B194:B199)</f>
        <v>761.4</v>
      </c>
      <c r="C200">
        <f t="shared" ref="C200:AP200" si="34">SUM(C194:C199)</f>
        <v>855.6</v>
      </c>
      <c r="D200">
        <f t="shared" si="34"/>
        <v>827.5</v>
      </c>
      <c r="E200">
        <f t="shared" si="34"/>
        <v>1125.5</v>
      </c>
      <c r="F200">
        <f t="shared" si="34"/>
        <v>699.24</v>
      </c>
      <c r="G200">
        <f t="shared" si="34"/>
        <v>718.2</v>
      </c>
      <c r="H200">
        <f t="shared" si="34"/>
        <v>760.90000000000009</v>
      </c>
      <c r="I200">
        <f t="shared" si="34"/>
        <v>823.50000000000011</v>
      </c>
      <c r="J200">
        <f t="shared" si="34"/>
        <v>552.5</v>
      </c>
      <c r="K200">
        <f t="shared" si="34"/>
        <v>1024.9998984793003</v>
      </c>
      <c r="L200">
        <f t="shared" si="34"/>
        <v>630.5</v>
      </c>
      <c r="M200">
        <f t="shared" si="34"/>
        <v>686.1</v>
      </c>
      <c r="N200">
        <f t="shared" si="34"/>
        <v>805.7</v>
      </c>
      <c r="O200">
        <f t="shared" si="34"/>
        <v>531.20000000000005</v>
      </c>
      <c r="P200">
        <f t="shared" si="34"/>
        <v>710.9</v>
      </c>
      <c r="Q200">
        <f t="shared" si="34"/>
        <v>648.69999999999993</v>
      </c>
      <c r="R200">
        <f t="shared" si="34"/>
        <v>892.19999999999993</v>
      </c>
      <c r="S200">
        <f t="shared" si="34"/>
        <v>679.3</v>
      </c>
      <c r="T200">
        <f t="shared" si="34"/>
        <v>545</v>
      </c>
      <c r="U200">
        <f t="shared" si="34"/>
        <v>703.19999999999993</v>
      </c>
      <c r="V200">
        <f t="shared" si="34"/>
        <v>751.8</v>
      </c>
      <c r="W200">
        <f t="shared" si="34"/>
        <v>691.5</v>
      </c>
      <c r="X200">
        <f t="shared" si="34"/>
        <v>777.40000000000009</v>
      </c>
      <c r="Y200">
        <f t="shared" si="34"/>
        <v>841.5</v>
      </c>
      <c r="Z200">
        <f t="shared" si="34"/>
        <v>781.09999999999991</v>
      </c>
      <c r="AA200">
        <f t="shared" si="34"/>
        <v>709.50000000000011</v>
      </c>
      <c r="AB200">
        <f t="shared" si="34"/>
        <v>584.5</v>
      </c>
      <c r="AC200">
        <f t="shared" si="34"/>
        <v>748.19999999999993</v>
      </c>
      <c r="AD200">
        <f t="shared" si="34"/>
        <v>710.2</v>
      </c>
      <c r="AE200">
        <f t="shared" si="34"/>
        <v>812.3</v>
      </c>
      <c r="AF200">
        <f t="shared" si="34"/>
        <v>775.30000000000007</v>
      </c>
      <c r="AG200">
        <f t="shared" si="34"/>
        <v>822.5</v>
      </c>
      <c r="AH200">
        <f t="shared" si="34"/>
        <v>635.9</v>
      </c>
      <c r="AI200">
        <f t="shared" si="34"/>
        <v>497.4</v>
      </c>
      <c r="AJ200">
        <f t="shared" si="34"/>
        <v>776.9</v>
      </c>
      <c r="AK200">
        <f t="shared" si="34"/>
        <v>576.09999999999991</v>
      </c>
      <c r="AL200">
        <f t="shared" si="34"/>
        <v>508.1</v>
      </c>
      <c r="AM200">
        <f t="shared" si="34"/>
        <v>711.80000000000007</v>
      </c>
      <c r="AN200">
        <f t="shared" si="34"/>
        <v>675.1</v>
      </c>
      <c r="AO200">
        <f t="shared" si="34"/>
        <v>0</v>
      </c>
      <c r="AP200">
        <f t="shared" si="34"/>
        <v>0</v>
      </c>
    </row>
    <row r="201" spans="1:42">
      <c r="A201" s="95" t="s">
        <v>202</v>
      </c>
      <c r="B201">
        <f>SUM(B188:B193)</f>
        <v>759.6</v>
      </c>
      <c r="C201">
        <f t="shared" ref="C201:AP201" si="35">SUM(C188:C193)</f>
        <v>838.2</v>
      </c>
      <c r="D201">
        <f t="shared" si="35"/>
        <v>818.50000000000011</v>
      </c>
      <c r="E201">
        <f t="shared" si="35"/>
        <v>872.6</v>
      </c>
      <c r="F201">
        <f t="shared" si="35"/>
        <v>598.27</v>
      </c>
      <c r="G201">
        <f t="shared" si="35"/>
        <v>717.2</v>
      </c>
      <c r="H201">
        <f t="shared" si="35"/>
        <v>752.2</v>
      </c>
      <c r="I201">
        <f t="shared" si="35"/>
        <v>642.30000000000007</v>
      </c>
      <c r="J201">
        <f t="shared" si="35"/>
        <v>485.49999999999994</v>
      </c>
      <c r="K201">
        <f t="shared" si="35"/>
        <v>785.65539345210527</v>
      </c>
      <c r="L201">
        <f t="shared" si="35"/>
        <v>609.9</v>
      </c>
      <c r="M201">
        <f t="shared" si="35"/>
        <v>679.69999999999993</v>
      </c>
      <c r="N201">
        <f t="shared" si="35"/>
        <v>789.30000000000007</v>
      </c>
      <c r="O201">
        <f t="shared" si="35"/>
        <v>525.6</v>
      </c>
      <c r="P201">
        <f t="shared" si="35"/>
        <v>694.9</v>
      </c>
      <c r="Q201">
        <f t="shared" si="35"/>
        <v>639.1</v>
      </c>
      <c r="R201">
        <f t="shared" si="35"/>
        <v>863.19999999999993</v>
      </c>
      <c r="S201">
        <f t="shared" si="35"/>
        <v>653.19999999999993</v>
      </c>
      <c r="T201">
        <f t="shared" si="35"/>
        <v>548.4</v>
      </c>
      <c r="U201">
        <f t="shared" si="35"/>
        <v>671.7</v>
      </c>
      <c r="V201">
        <f t="shared" si="35"/>
        <v>786.89999999999986</v>
      </c>
      <c r="W201">
        <f t="shared" si="35"/>
        <v>686.30000000000007</v>
      </c>
      <c r="X201">
        <f t="shared" si="35"/>
        <v>772.8</v>
      </c>
      <c r="Y201">
        <f t="shared" si="35"/>
        <v>838.30000000000007</v>
      </c>
      <c r="Z201">
        <f t="shared" si="35"/>
        <v>770.30000000000007</v>
      </c>
      <c r="AA201">
        <f t="shared" si="35"/>
        <v>699.90000000000009</v>
      </c>
      <c r="AB201">
        <f t="shared" si="35"/>
        <v>534.5</v>
      </c>
      <c r="AC201">
        <f t="shared" si="35"/>
        <v>728.9</v>
      </c>
      <c r="AD201">
        <f t="shared" si="35"/>
        <v>712.2</v>
      </c>
      <c r="AE201">
        <f t="shared" si="35"/>
        <v>750.69999999999993</v>
      </c>
      <c r="AF201">
        <f t="shared" si="35"/>
        <v>727.80000000000007</v>
      </c>
      <c r="AG201">
        <f t="shared" si="35"/>
        <v>750.9</v>
      </c>
      <c r="AH201">
        <f t="shared" si="35"/>
        <v>643</v>
      </c>
      <c r="AI201">
        <f t="shared" si="35"/>
        <v>496.20000000000005</v>
      </c>
      <c r="AJ201">
        <f t="shared" si="35"/>
        <v>811.6</v>
      </c>
      <c r="AK201">
        <f t="shared" si="35"/>
        <v>555.1</v>
      </c>
      <c r="AL201">
        <f t="shared" si="35"/>
        <v>481.79999999999995</v>
      </c>
      <c r="AM201">
        <f t="shared" si="35"/>
        <v>709.5</v>
      </c>
      <c r="AN201">
        <f t="shared" si="35"/>
        <v>646.6</v>
      </c>
      <c r="AO201">
        <f t="shared" si="35"/>
        <v>0</v>
      </c>
      <c r="AP201">
        <f t="shared" si="35"/>
        <v>0</v>
      </c>
    </row>
    <row r="203" spans="1:42" ht="18.75">
      <c r="B203" s="235" t="s">
        <v>180</v>
      </c>
      <c r="C203" s="235"/>
      <c r="D203" s="235"/>
      <c r="E203" s="235"/>
    </row>
    <row r="204" spans="1:42">
      <c r="A204" s="95" cm="1">
        <f t="array" ref="A204:AN204">INDEX(INDICES,MATCH(DATE1,'INDICES PRIX'!A:A,0),)</f>
        <v>43101</v>
      </c>
      <c r="B204">
        <v>104.1</v>
      </c>
      <c r="C204">
        <v>117.8</v>
      </c>
      <c r="D204">
        <v>115.1</v>
      </c>
      <c r="E204">
        <v>102.68819713409906</v>
      </c>
      <c r="F204">
        <v>86.75</v>
      </c>
      <c r="G204">
        <v>101.5</v>
      </c>
      <c r="H204">
        <v>105.6</v>
      </c>
      <c r="I204">
        <v>88.061034006979952</v>
      </c>
      <c r="J204">
        <v>48.778089197030042</v>
      </c>
      <c r="K204">
        <v>109.87487318227933</v>
      </c>
      <c r="L204">
        <v>86.7199157377337</v>
      </c>
      <c r="M204">
        <v>81.8</v>
      </c>
      <c r="N204">
        <v>93.626621545403253</v>
      </c>
      <c r="O204">
        <v>75.234002472478949</v>
      </c>
      <c r="P204">
        <v>95.110000960707083</v>
      </c>
      <c r="Q204">
        <v>89.155140516254079</v>
      </c>
      <c r="R204">
        <v>95.577069096431273</v>
      </c>
      <c r="S204">
        <v>79.120704705975712</v>
      </c>
      <c r="T204">
        <v>74.333293109689876</v>
      </c>
      <c r="U204">
        <v>75.662739322533142</v>
      </c>
      <c r="V204">
        <v>88.917290487493162</v>
      </c>
      <c r="W204">
        <v>95.720609936055098</v>
      </c>
      <c r="X204">
        <v>91.734877221002193</v>
      </c>
      <c r="Y204">
        <v>95.986205575246672</v>
      </c>
      <c r="Z204">
        <v>91.242672457441188</v>
      </c>
      <c r="AA204">
        <v>93.892850612543427</v>
      </c>
      <c r="AB204">
        <v>78.997197606604558</v>
      </c>
      <c r="AC204">
        <v>90.980255718883186</v>
      </c>
      <c r="AD204">
        <v>91.85902916310441</v>
      </c>
      <c r="AE204">
        <v>86.120256454687237</v>
      </c>
      <c r="AF204">
        <v>96.35589209654519</v>
      </c>
      <c r="AG204">
        <v>94.776470588235298</v>
      </c>
      <c r="AH204">
        <v>100.17520354529526</v>
      </c>
      <c r="AI204">
        <v>102.42535510677361</v>
      </c>
      <c r="AJ204">
        <v>90.838105153565849</v>
      </c>
      <c r="AK204">
        <v>84.580018973947304</v>
      </c>
      <c r="AL204">
        <v>68.386757059171984</v>
      </c>
      <c r="AM204">
        <v>89.745762711864415</v>
      </c>
      <c r="AN204">
        <v>87.818457904504797</v>
      </c>
    </row>
    <row r="205" spans="1:42">
      <c r="A205" s="95" cm="1">
        <f t="array" ref="A205:AN205">INDEX(INDICES,MATCH(DATE2,'INDICES PRIX'!A:A,0),)</f>
        <v>46143</v>
      </c>
      <c r="B205">
        <v>127.8</v>
      </c>
      <c r="C205">
        <v>143</v>
      </c>
      <c r="D205">
        <v>138.19999999999999</v>
      </c>
      <c r="E205">
        <v>212.8</v>
      </c>
      <c r="F205">
        <v>131.69999999999999</v>
      </c>
      <c r="G205">
        <v>120.7</v>
      </c>
      <c r="H205">
        <v>129.19999999999999</v>
      </c>
      <c r="I205">
        <v>109.7</v>
      </c>
      <c r="J205">
        <v>109.8</v>
      </c>
      <c r="K205">
        <v>205.64174430131035</v>
      </c>
      <c r="L205">
        <v>119.5</v>
      </c>
      <c r="M205">
        <v>114.6</v>
      </c>
      <c r="N205">
        <v>136.5</v>
      </c>
      <c r="O205">
        <v>95.4</v>
      </c>
      <c r="P205">
        <v>120</v>
      </c>
      <c r="Q205">
        <v>120.4</v>
      </c>
      <c r="R205">
        <v>151.4</v>
      </c>
      <c r="S205">
        <v>118.6</v>
      </c>
      <c r="T205">
        <v>91.3</v>
      </c>
      <c r="U205">
        <v>149.4</v>
      </c>
      <c r="V205">
        <v>123</v>
      </c>
      <c r="W205">
        <v>117.5</v>
      </c>
      <c r="X205">
        <v>131.69999999999999</v>
      </c>
      <c r="Y205">
        <v>141.69999999999999</v>
      </c>
      <c r="Z205">
        <v>130.9</v>
      </c>
      <c r="AA205">
        <v>119.2</v>
      </c>
      <c r="AB205">
        <v>121.9</v>
      </c>
      <c r="AC205">
        <v>125.8</v>
      </c>
      <c r="AD205">
        <v>118.4</v>
      </c>
      <c r="AE205">
        <v>137.9</v>
      </c>
      <c r="AF205">
        <v>133.6</v>
      </c>
      <c r="AG205">
        <v>144.80000000000001</v>
      </c>
      <c r="AH205">
        <v>106.8</v>
      </c>
      <c r="AI205">
        <v>84</v>
      </c>
      <c r="AJ205">
        <v>129.4</v>
      </c>
      <c r="AK205">
        <v>101.3</v>
      </c>
      <c r="AL205">
        <v>89.3</v>
      </c>
      <c r="AM205">
        <v>119.2</v>
      </c>
      <c r="AN205">
        <v>116.9</v>
      </c>
    </row>
  </sheetData>
  <sheetProtection algorithmName="SHA-512" hashValue="GTJWl7n7IB9bDk9V4nlYLjzDz7SfWGhZV0OtQ66FdccFeEkx/M5zSe2/q7Lq/e4hUMG3Ce8zLAL6H7F/RF4z6g==" saltValue="lrWjzJzogYJxvMc52LBOHQ==" spinCount="100000" sheet="1" objects="1" scenarios="1"/>
  <mergeCells count="20">
    <mergeCell ref="B203:E203"/>
    <mergeCell ref="B6:D6"/>
    <mergeCell ref="B22:D22"/>
    <mergeCell ref="B38:D38"/>
    <mergeCell ref="B5:E5"/>
    <mergeCell ref="B54:E54"/>
    <mergeCell ref="B55:D55"/>
    <mergeCell ref="B71:D71"/>
    <mergeCell ref="B134:D134"/>
    <mergeCell ref="B103:E103"/>
    <mergeCell ref="B104:D104"/>
    <mergeCell ref="B119:D119"/>
    <mergeCell ref="B176:E176"/>
    <mergeCell ref="B177:D177"/>
    <mergeCell ref="B187:D187"/>
    <mergeCell ref="B87:D87"/>
    <mergeCell ref="B1:F2"/>
    <mergeCell ref="B149:E149"/>
    <mergeCell ref="B150:D150"/>
    <mergeCell ref="B160:D160"/>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A6FE0-6915-465A-94CC-DD480FD0F3B5}">
  <sheetPr codeName="Feuil7">
    <tabColor rgb="FF92D050"/>
  </sheetPr>
  <dimension ref="A1:AP88"/>
  <sheetViews>
    <sheetView topLeftCell="A62" workbookViewId="0">
      <selection activeCell="A39" sqref="A39"/>
    </sheetView>
  </sheetViews>
  <sheetFormatPr baseColWidth="10" defaultRowHeight="15"/>
  <cols>
    <col min="1" max="1" width="49.7109375" style="3" customWidth="1"/>
    <col min="2" max="2" width="11.5703125" customWidth="1"/>
    <col min="3" max="3" width="74.85546875" bestFit="1" customWidth="1"/>
    <col min="4" max="5" width="11.5703125" customWidth="1"/>
  </cols>
  <sheetData>
    <row r="1" spans="1:13" ht="21">
      <c r="B1" s="245" t="s">
        <v>183</v>
      </c>
      <c r="C1" s="246"/>
      <c r="D1" s="246"/>
      <c r="E1" s="246"/>
      <c r="F1" s="246"/>
      <c r="G1" s="246"/>
      <c r="H1" s="246"/>
      <c r="I1" s="246"/>
      <c r="J1" s="246"/>
      <c r="K1" s="246"/>
      <c r="L1" s="246"/>
      <c r="M1" s="246"/>
    </row>
    <row r="2" spans="1:13">
      <c r="D2" s="22"/>
      <c r="E2" s="22"/>
      <c r="F2" s="22"/>
      <c r="G2" s="22"/>
      <c r="I2" t="str" cm="1">
        <f t="array" ref="I2:I3">'A MODIFIER'!A5:A6</f>
        <v>*/2025 = Cumul janv 2026-mai 2026 / Cumul janv 2025-mai 2025</v>
      </c>
    </row>
    <row r="3" spans="1:13">
      <c r="A3" s="115"/>
      <c r="D3" s="22"/>
      <c r="E3" s="22"/>
      <c r="F3" s="22"/>
      <c r="G3" s="22"/>
      <c r="I3" t="str">
        <v>*/2024 = Cumul janv 2026-mai 2026 / Cumul janv 2024-mai 2024</v>
      </c>
    </row>
    <row r="5" spans="1:13">
      <c r="B5" s="241" t="s">
        <v>186</v>
      </c>
      <c r="C5" s="241"/>
      <c r="D5" s="241"/>
      <c r="E5" s="241"/>
      <c r="J5" s="241" t="s">
        <v>185</v>
      </c>
      <c r="K5" s="241"/>
      <c r="L5" s="241"/>
      <c r="M5" s="241"/>
    </row>
    <row r="6" spans="1:13">
      <c r="D6" t="str">
        <f>'A MODIFIER'!A10</f>
        <v>*/2025</v>
      </c>
      <c r="E6" t="str">
        <f>'A MODIFIER'!A9</f>
        <v>*/2024</v>
      </c>
      <c r="L6" t="str">
        <f>'A MODIFIER'!A10</f>
        <v>*/2025</v>
      </c>
      <c r="M6" t="str">
        <f>'A MODIFIER'!A9</f>
        <v>*/2024</v>
      </c>
    </row>
    <row r="7" spans="1:13">
      <c r="A7" s="116" t="s">
        <v>203</v>
      </c>
      <c r="B7" t="s">
        <v>19</v>
      </c>
      <c r="C7" t="s">
        <v>0</v>
      </c>
      <c r="D7" s="20" cm="1">
        <f t="array" ref="D7:D30">TRANSPOSE(D36:AA36)</f>
        <v>3.5567715458276306E-2</v>
      </c>
      <c r="E7" s="20" cm="1">
        <f t="array" ref="E7:E30">TRANSPOSE(D37:AA37)</f>
        <v>4.8153846153845992E-2</v>
      </c>
      <c r="I7" t="str" cm="1">
        <f t="array" ref="I7:M30">_xlfn._xlws.SORT(A7:E30,4,-1,FALSE)</f>
        <v>https://www.insee.fr/fr/statistiques/serie/001710993</v>
      </c>
      <c r="J7" t="str">
        <v>TP06a</v>
      </c>
      <c r="K7" t="str">
        <v>Grands dragages maritimes </v>
      </c>
      <c r="L7" s="21">
        <v>9.5028596568411894E-2</v>
      </c>
      <c r="M7" s="21">
        <v>7.3307460112117306E-2</v>
      </c>
    </row>
    <row r="8" spans="1:13">
      <c r="A8" s="116" t="s">
        <v>204</v>
      </c>
      <c r="B8" t="s">
        <v>20</v>
      </c>
      <c r="C8" t="s">
        <v>1</v>
      </c>
      <c r="D8" s="20">
        <v>2.9146323420624176E-2</v>
      </c>
      <c r="E8" s="4">
        <v>4.2409710774763631E-2</v>
      </c>
      <c r="I8" t="str">
        <v>https://www.insee.fr/fr/statistiques/serie/001710994</v>
      </c>
      <c r="J8" t="str">
        <v>TP06b</v>
      </c>
      <c r="K8" s="21" t="str">
        <v>Dragages fluviaux et petits dragages maritimes</v>
      </c>
      <c r="L8" s="21">
        <v>7.1384897584836793E-2</v>
      </c>
      <c r="M8">
        <v>8.8861270778312962E-2</v>
      </c>
    </row>
    <row r="9" spans="1:13">
      <c r="A9" s="116" t="s">
        <v>205</v>
      </c>
      <c r="B9" t="s">
        <v>21</v>
      </c>
      <c r="C9" t="s">
        <v>2</v>
      </c>
      <c r="D9" s="20">
        <v>5.2639494660851271E-2</v>
      </c>
      <c r="E9" s="4">
        <v>6.5783462768387313E-2</v>
      </c>
      <c r="I9" t="str">
        <v>https://www.insee.fr/fr/statistiques/serie/001711002</v>
      </c>
      <c r="J9" t="str">
        <v>TP12a</v>
      </c>
      <c r="K9" s="21" t="str">
        <v>Réseaux d'énergie et de communication</v>
      </c>
      <c r="L9" s="21">
        <v>5.4767652383826082E-2</v>
      </c>
      <c r="M9">
        <v>7.3062164236377347E-2</v>
      </c>
    </row>
    <row r="10" spans="1:13">
      <c r="A10" s="33" t="s">
        <v>254</v>
      </c>
      <c r="B10" t="s">
        <v>22</v>
      </c>
      <c r="C10" t="s">
        <v>3</v>
      </c>
      <c r="D10" s="20">
        <v>3.2745591939546514E-2</v>
      </c>
      <c r="E10" s="4">
        <v>6.2359647607531654E-2</v>
      </c>
      <c r="I10" t="str">
        <v>https://www.insee.fr/fr/statistiques/serie/001710988</v>
      </c>
      <c r="J10" t="str">
        <v>TP03a</v>
      </c>
      <c r="K10" s="21" t="str">
        <v>Grands terrassements</v>
      </c>
      <c r="L10" s="21">
        <v>5.2639494660851271E-2</v>
      </c>
      <c r="M10">
        <v>6.5783462768387313E-2</v>
      </c>
    </row>
    <row r="11" spans="1:13">
      <c r="A11" s="116" t="s">
        <v>206</v>
      </c>
      <c r="B11" t="s">
        <v>23</v>
      </c>
      <c r="C11" t="s">
        <v>4</v>
      </c>
      <c r="D11" s="20">
        <v>3.4748451427707883E-2</v>
      </c>
      <c r="E11" s="4">
        <v>4.0565177757520443E-2</v>
      </c>
      <c r="I11" t="str">
        <v>https://www.insee.fr/fr/statistiques/serie/001710995</v>
      </c>
      <c r="J11" t="str">
        <v>TP07b</v>
      </c>
      <c r="K11" s="21" t="str">
        <v>Travaux de génie civil, béton et acier pour ouvrages maritimes et fluviaux</v>
      </c>
      <c r="L11" s="21">
        <v>5.0037341299477234E-2</v>
      </c>
      <c r="M11">
        <v>4.5197740112994378E-2</v>
      </c>
    </row>
    <row r="12" spans="1:13">
      <c r="A12" s="116" t="s">
        <v>207</v>
      </c>
      <c r="B12" t="s">
        <v>24</v>
      </c>
      <c r="C12" t="s">
        <v>5</v>
      </c>
      <c r="D12" s="20">
        <v>2.7203805559684824E-2</v>
      </c>
      <c r="E12" s="4">
        <v>3.9879608728367266E-2</v>
      </c>
      <c r="I12" t="str">
        <v>https://www.insee.fr/fr/statistiques/serie/001711000</v>
      </c>
      <c r="J12" t="str">
        <v>TP10c</v>
      </c>
      <c r="K12" s="21" t="str">
        <v>Réhabilitation de canalisations non visitables</v>
      </c>
      <c r="L12" s="21">
        <v>4.5954198473282748E-2</v>
      </c>
      <c r="M12">
        <v>5.0283611835045594E-2</v>
      </c>
    </row>
    <row r="13" spans="1:13">
      <c r="A13" s="116" t="s">
        <v>208</v>
      </c>
      <c r="B13" t="s">
        <v>25</v>
      </c>
      <c r="C13" t="s">
        <v>6</v>
      </c>
      <c r="D13" s="20">
        <v>2.3276370064820195E-2</v>
      </c>
      <c r="E13" s="4">
        <v>3.0105294379356495E-2</v>
      </c>
      <c r="I13" t="str">
        <v>https://www.insee.fr/fr/statistiques/serie/001796841</v>
      </c>
      <c r="J13" t="str">
        <v>TP12d</v>
      </c>
      <c r="K13" s="21" t="str">
        <v>Réseaux de communication en fibre optique</v>
      </c>
      <c r="L13" s="21">
        <v>3.6959665756066018E-2</v>
      </c>
      <c r="M13">
        <v>3.0172413793103425E-2</v>
      </c>
    </row>
    <row r="14" spans="1:13">
      <c r="A14" s="116" t="s">
        <v>209</v>
      </c>
      <c r="B14" t="s">
        <v>26</v>
      </c>
      <c r="C14" t="s">
        <v>7</v>
      </c>
      <c r="D14" s="20">
        <v>9.5028596568411894E-2</v>
      </c>
      <c r="E14" s="4">
        <v>7.3307460112117306E-2</v>
      </c>
      <c r="I14" t="str">
        <v>https://www.insee.fr/fr/statistiques/serie/010777582</v>
      </c>
      <c r="J14" t="str">
        <v>TP10f</v>
      </c>
      <c r="K14" s="21" t="str">
        <v>Canalisations, assainnissement et adduction d'eau avec fourniture de tuyaux avec fourniture de tuyaux multi-matériaux</v>
      </c>
      <c r="L14" s="21">
        <v>3.6455929856944902E-2</v>
      </c>
      <c r="M14">
        <v>3.5500230520977283E-2</v>
      </c>
    </row>
    <row r="15" spans="1:13">
      <c r="A15" s="116" t="s">
        <v>210</v>
      </c>
      <c r="B15" t="s">
        <v>27</v>
      </c>
      <c r="C15" t="s">
        <v>8</v>
      </c>
      <c r="D15" s="20">
        <v>7.1384897584836793E-2</v>
      </c>
      <c r="E15" s="4">
        <v>8.8861270778312962E-2</v>
      </c>
      <c r="I15" t="str">
        <v>https://www.insee.fr/fr/statistiques/serie/001711007</v>
      </c>
      <c r="J15" t="str">
        <v>TP01</v>
      </c>
      <c r="K15" s="21" t="str">
        <v>Index général tous travaux</v>
      </c>
      <c r="L15" s="21">
        <v>3.5567715458276306E-2</v>
      </c>
      <c r="M15">
        <v>4.8153846153845992E-2</v>
      </c>
    </row>
    <row r="16" spans="1:13">
      <c r="A16" s="116" t="s">
        <v>211</v>
      </c>
      <c r="B16" t="s">
        <v>28</v>
      </c>
      <c r="C16" t="s">
        <v>275</v>
      </c>
      <c r="D16" s="20">
        <v>5.0037341299477234E-2</v>
      </c>
      <c r="E16" s="4">
        <v>4.5197740112994378E-2</v>
      </c>
      <c r="I16" t="str">
        <v>https://www.insee.fr/fr/statistiques/serie/001710990</v>
      </c>
      <c r="J16" t="str">
        <v>TP04</v>
      </c>
      <c r="K16" s="21" t="str">
        <v xml:space="preserve">Fondations et travaux géotechniques </v>
      </c>
      <c r="L16" s="21">
        <v>3.4748451427707883E-2</v>
      </c>
      <c r="M16">
        <v>4.0565177757520443E-2</v>
      </c>
    </row>
    <row r="17" spans="1:13">
      <c r="A17" s="116" t="s">
        <v>212</v>
      </c>
      <c r="B17" t="s">
        <v>29</v>
      </c>
      <c r="C17" t="s">
        <v>350</v>
      </c>
      <c r="D17" s="20">
        <v>2.7349121466768489E-2</v>
      </c>
      <c r="E17" s="4">
        <v>4.1189222669556935E-2</v>
      </c>
      <c r="I17" t="str">
        <v>https://www.insee.fr/fr/statistiques/serie/010605983</v>
      </c>
      <c r="J17" t="str">
        <v>TP10d</v>
      </c>
      <c r="K17" s="21" t="str">
        <v>Réseaux de chauffage et de froid avec fourniture de tuyaux</v>
      </c>
      <c r="L17" s="21">
        <v>3.4190765297970938E-2</v>
      </c>
      <c r="M17">
        <v>3.5017588743204264E-2</v>
      </c>
    </row>
    <row r="18" spans="1:13">
      <c r="A18" s="116" t="s">
        <v>213</v>
      </c>
      <c r="B18" t="s">
        <v>30</v>
      </c>
      <c r="C18" t="s">
        <v>9</v>
      </c>
      <c r="D18" s="20">
        <v>1.3751545117428821E-2</v>
      </c>
      <c r="E18" s="4">
        <v>4.142857142857137E-2</v>
      </c>
      <c r="I18" t="str">
        <v>https://www.insee.fr/fr/statistiques/serie/001710999</v>
      </c>
      <c r="J18" t="str">
        <v>TP10b</v>
      </c>
      <c r="K18" s="21" t="str">
        <v>Canalisations sans fourniture de tuyaux</v>
      </c>
      <c r="L18" s="21">
        <v>3.4070260448213485E-2</v>
      </c>
      <c r="M18">
        <v>4.9162697803042388E-2</v>
      </c>
    </row>
    <row r="19" spans="1:13">
      <c r="A19" s="116" t="s">
        <v>214</v>
      </c>
      <c r="B19" t="s">
        <v>31</v>
      </c>
      <c r="C19" t="s">
        <v>10</v>
      </c>
      <c r="D19" s="20">
        <v>3.4070260448213485E-2</v>
      </c>
      <c r="E19" s="4">
        <v>4.9162697803042388E-2</v>
      </c>
      <c r="I19" t="str">
        <v>https://www.insee.fr/fr/statistiques/serie/001710989</v>
      </c>
      <c r="J19" t="str">
        <v>TP03b</v>
      </c>
      <c r="K19" s="21" t="str">
        <v>Travaux à l’explosif</v>
      </c>
      <c r="L19" s="21">
        <v>3.2745591939546514E-2</v>
      </c>
      <c r="M19">
        <v>6.2359647607531654E-2</v>
      </c>
    </row>
    <row r="20" spans="1:13">
      <c r="A20" s="116" t="s">
        <v>215</v>
      </c>
      <c r="B20" t="s">
        <v>32</v>
      </c>
      <c r="C20" t="s">
        <v>11</v>
      </c>
      <c r="D20" s="20">
        <v>4.5954198473282748E-2</v>
      </c>
      <c r="E20" s="4">
        <v>5.0283611835045594E-2</v>
      </c>
      <c r="I20" t="str">
        <v>https://www.insee.fr/fr/statistiques/serie/001711004</v>
      </c>
      <c r="J20" t="str">
        <v>TP12c</v>
      </c>
      <c r="K20" s="21" t="str">
        <v>Éclairage public - Travaux  de maintenance</v>
      </c>
      <c r="L20" s="21">
        <v>3.1891723708774133E-2</v>
      </c>
      <c r="M20">
        <v>5.3358742258218239E-2</v>
      </c>
    </row>
    <row r="21" spans="1:13">
      <c r="A21" s="177" t="s">
        <v>216</v>
      </c>
      <c r="B21" t="s">
        <v>33</v>
      </c>
      <c r="C21" t="s">
        <v>12</v>
      </c>
      <c r="D21" s="20">
        <v>3.4190765297970938E-2</v>
      </c>
      <c r="E21" s="4">
        <v>3.5017588743204264E-2</v>
      </c>
      <c r="I21" t="str">
        <v>https://www.insee.fr/fr/statistiques/serie/001710987</v>
      </c>
      <c r="J21" t="str">
        <v>TP02</v>
      </c>
      <c r="K21" s="21" t="str">
        <v>Travaux de génie civil et d’ouvrages d’art neufs ou rénovation</v>
      </c>
      <c r="L21" s="21">
        <v>2.9146323420624176E-2</v>
      </c>
      <c r="M21">
        <v>4.2409710774763631E-2</v>
      </c>
    </row>
    <row r="22" spans="1:13">
      <c r="A22" s="177" t="s">
        <v>314</v>
      </c>
      <c r="B22" t="s">
        <v>269</v>
      </c>
      <c r="C22" t="s">
        <v>276</v>
      </c>
      <c r="D22" s="20">
        <v>2.8527131782945858E-2</v>
      </c>
      <c r="E22" s="4">
        <v>3.7210756722952043E-2</v>
      </c>
      <c r="I22" t="str">
        <v>https://www.insee.fr/fr/statistiques/serie/001711003</v>
      </c>
      <c r="J22" t="str">
        <v>TP12b</v>
      </c>
      <c r="K22" s="21" t="str">
        <v>Éclairage public -Travaux d'installation</v>
      </c>
      <c r="L22" s="21">
        <v>2.8817541111981093E-2</v>
      </c>
      <c r="M22">
        <v>3.0108201348596486E-2</v>
      </c>
    </row>
    <row r="23" spans="1:13">
      <c r="A23" s="37" t="s">
        <v>311</v>
      </c>
      <c r="B23" t="s">
        <v>270</v>
      </c>
      <c r="C23" t="s">
        <v>277</v>
      </c>
      <c r="D23" s="176">
        <v>3.6455929856944902E-2</v>
      </c>
      <c r="E23" s="4">
        <v>3.5500230520977283E-2</v>
      </c>
      <c r="I23" t="str">
        <v>https://www.insee.fr/fr/statistiques/serie/010777525</v>
      </c>
      <c r="J23" t="str">
        <v>TP10e</v>
      </c>
      <c r="K23" s="21" t="str">
        <v>Canalisations, assainnissement et adduction d'eau avec fourniture de tuyaux en fonte majoritaire</v>
      </c>
      <c r="L23" s="21">
        <v>2.8527131782945858E-2</v>
      </c>
      <c r="M23">
        <v>3.7210756722952043E-2</v>
      </c>
    </row>
    <row r="24" spans="1:13">
      <c r="A24" t="s">
        <v>217</v>
      </c>
      <c r="B24" t="s">
        <v>34</v>
      </c>
      <c r="C24" t="s">
        <v>13</v>
      </c>
      <c r="D24" s="176">
        <v>2.2897267592733916E-2</v>
      </c>
      <c r="E24" s="4">
        <v>2.8233849930949795E-2</v>
      </c>
      <c r="I24" t="str">
        <v>https://www.insee.fr/fr/statistiques/serie/001710996</v>
      </c>
      <c r="J24" t="str">
        <v>TP08</v>
      </c>
      <c r="K24" s="21" t="str">
        <v>Travaux d’aménagement et entretien de voirie en zones rurale et urbaine</v>
      </c>
      <c r="L24" s="21">
        <v>2.7349121466768489E-2</v>
      </c>
      <c r="M24">
        <v>4.1189222669556935E-2</v>
      </c>
    </row>
    <row r="25" spans="1:13">
      <c r="A25" s="193" t="s">
        <v>218</v>
      </c>
      <c r="B25" t="s">
        <v>35</v>
      </c>
      <c r="C25" t="s">
        <v>14</v>
      </c>
      <c r="D25" s="176">
        <v>5.4767652383826082E-2</v>
      </c>
      <c r="E25" s="4">
        <v>7.3062164236377347E-2</v>
      </c>
      <c r="I25" t="str">
        <v>https://www.insee.fr/fr/statistiques/serie/001710991</v>
      </c>
      <c r="J25" t="str">
        <v>TP05a</v>
      </c>
      <c r="K25" s="21" t="str">
        <v xml:space="preserve">Travaux en souterrains traditionnels </v>
      </c>
      <c r="L25" s="21">
        <v>2.7203805559684824E-2</v>
      </c>
      <c r="M25">
        <v>3.9879608728367266E-2</v>
      </c>
    </row>
    <row r="26" spans="1:13">
      <c r="A26" s="189" t="s">
        <v>219</v>
      </c>
      <c r="B26" t="s">
        <v>36</v>
      </c>
      <c r="C26" t="s">
        <v>15</v>
      </c>
      <c r="D26" s="176">
        <v>2.8817541111981093E-2</v>
      </c>
      <c r="E26" s="4">
        <v>3.0108201348596486E-2</v>
      </c>
      <c r="I26" t="str">
        <v>https://www.insee.fr/fr/statistiques/serie/010777526</v>
      </c>
      <c r="J26" t="str">
        <v>TP13b</v>
      </c>
      <c r="K26" s="21" t="str">
        <v>Charpentes et ouvrages d'art métalliques sans fourniture des aciers</v>
      </c>
      <c r="L26" s="21">
        <v>2.5723472668810254E-2</v>
      </c>
      <c r="M26">
        <v>3.8319277999704138E-2</v>
      </c>
    </row>
    <row r="27" spans="1:13">
      <c r="A27" s="189" t="s">
        <v>220</v>
      </c>
      <c r="B27" t="s">
        <v>37</v>
      </c>
      <c r="C27" t="s">
        <v>16</v>
      </c>
      <c r="D27" s="176">
        <v>3.1891723708774133E-2</v>
      </c>
      <c r="E27" s="4">
        <v>5.3358742258218239E-2</v>
      </c>
      <c r="I27" t="str">
        <v>https://www.insee.fr/fr/statistiques/serie/001710992</v>
      </c>
      <c r="J27" t="str">
        <v>TP05b</v>
      </c>
      <c r="K27" s="21" t="str">
        <v xml:space="preserve">Travaux en souterrains avec tunnelier </v>
      </c>
      <c r="L27" s="21">
        <v>2.3276370064820195E-2</v>
      </c>
      <c r="M27">
        <v>3.0105294379356495E-2</v>
      </c>
    </row>
    <row r="28" spans="1:13">
      <c r="A28" s="189" t="s">
        <v>221</v>
      </c>
      <c r="B28" t="s">
        <v>38</v>
      </c>
      <c r="C28" t="s">
        <v>17</v>
      </c>
      <c r="D28" s="176">
        <v>3.6959665756066018E-2</v>
      </c>
      <c r="E28" s="4">
        <v>3.0172413793103425E-2</v>
      </c>
      <c r="I28" t="str">
        <v>https://www.insee.fr/fr/statistiques/serie/001711001</v>
      </c>
      <c r="J28" t="str">
        <v>TP11</v>
      </c>
      <c r="K28" s="21" t="str">
        <v>Canalisations grandes distances de transport / transfert  avec fourniture de tuyaux</v>
      </c>
      <c r="L28" s="218">
        <v>2.2897267592733916E-2</v>
      </c>
      <c r="M28" s="219">
        <v>2.8233849930949795E-2</v>
      </c>
    </row>
    <row r="29" spans="1:13">
      <c r="A29" s="193" t="s">
        <v>312</v>
      </c>
      <c r="B29" t="s">
        <v>271</v>
      </c>
      <c r="C29" t="s">
        <v>278</v>
      </c>
      <c r="D29" s="176">
        <v>7.6162479957242457E-3</v>
      </c>
      <c r="E29" s="4">
        <v>7.9628400796272203E-4</v>
      </c>
      <c r="I29" t="str">
        <v>https://www.insee.fr/fr/statistiques/serie/001710997</v>
      </c>
      <c r="J29" t="str">
        <v>TP09</v>
      </c>
      <c r="K29" s="21" t="str">
        <v>Fabrication et mise en œuvre d’enrobés </v>
      </c>
      <c r="L29" s="218">
        <v>1.3751545117428821E-2</v>
      </c>
      <c r="M29" s="219">
        <v>4.142857142857137E-2</v>
      </c>
    </row>
    <row r="30" spans="1:13">
      <c r="A30" s="193" t="s">
        <v>313</v>
      </c>
      <c r="B30" t="s">
        <v>272</v>
      </c>
      <c r="C30" t="s">
        <v>315</v>
      </c>
      <c r="D30" s="176">
        <v>2.5723472668810254E-2</v>
      </c>
      <c r="E30" s="4">
        <v>3.8319277999704138E-2</v>
      </c>
      <c r="I30" t="str">
        <v>https://www.insee.fr/fr/statistiques/serie/010777583</v>
      </c>
      <c r="J30" t="str">
        <v>TP13a</v>
      </c>
      <c r="K30" t="str">
        <v>Charpentes et ouvrages d'art métalliques</v>
      </c>
      <c r="L30" s="219">
        <v>7.6162479957242457E-3</v>
      </c>
      <c r="M30" s="219">
        <v>7.9628400796272203E-4</v>
      </c>
    </row>
    <row r="31" spans="1:13">
      <c r="D31" s="176"/>
      <c r="E31" s="4"/>
    </row>
    <row r="32" spans="1:13">
      <c r="D32" s="176"/>
      <c r="E32" s="4"/>
    </row>
    <row r="33" spans="1:30">
      <c r="D33" s="176"/>
      <c r="E33" s="4"/>
    </row>
    <row r="34" spans="1:30">
      <c r="D34" s="176"/>
      <c r="E34" s="4"/>
    </row>
    <row r="36" spans="1:30">
      <c r="C36" t="str">
        <f>'A MODIFIER'!A10</f>
        <v>*/2025</v>
      </c>
      <c r="D36" s="5">
        <f>('CUMULS INDEX'!B20/'CUMULS INDEX'!B36)-1</f>
        <v>3.5567715458276306E-2</v>
      </c>
      <c r="E36" s="5">
        <f>('CUMULS INDEX'!C20/'CUMULS INDEX'!C36)-1</f>
        <v>2.9146323420624176E-2</v>
      </c>
      <c r="F36" s="5">
        <f>('CUMULS INDEX'!D20/'CUMULS INDEX'!D36)-1</f>
        <v>5.2639494660851271E-2</v>
      </c>
      <c r="G36" s="5">
        <f>('CUMULS INDEX'!E20/'CUMULS INDEX'!E36)-1</f>
        <v>3.2745591939546514E-2</v>
      </c>
      <c r="H36" s="5">
        <f>('CUMULS INDEX'!F20/'CUMULS INDEX'!F36)-1</f>
        <v>3.4748451427707883E-2</v>
      </c>
      <c r="I36" s="5">
        <f>('CUMULS INDEX'!G20/'CUMULS INDEX'!G36)-1</f>
        <v>2.7203805559684824E-2</v>
      </c>
      <c r="J36" s="5">
        <f>('CUMULS INDEX'!H20/'CUMULS INDEX'!H36)-1</f>
        <v>2.3276370064820195E-2</v>
      </c>
      <c r="K36" s="5">
        <f>('CUMULS INDEX'!I20/'CUMULS INDEX'!I36)-1</f>
        <v>9.5028596568411894E-2</v>
      </c>
      <c r="L36" s="5">
        <f>('CUMULS INDEX'!J20/'CUMULS INDEX'!J36)-1</f>
        <v>7.1384897584836793E-2</v>
      </c>
      <c r="M36" s="5">
        <f>('CUMULS INDEX'!K20/'CUMULS INDEX'!K36)-1</f>
        <v>5.0037341299477234E-2</v>
      </c>
      <c r="N36" s="5">
        <f>('CUMULS INDEX'!L20/'CUMULS INDEX'!L36)-1</f>
        <v>2.7349121466768489E-2</v>
      </c>
      <c r="O36" s="5">
        <f>('CUMULS INDEX'!M20/'CUMULS INDEX'!M36)-1</f>
        <v>1.3751545117428821E-2</v>
      </c>
      <c r="P36" s="5">
        <f>('CUMULS INDEX'!N20/'CUMULS INDEX'!N36)-1</f>
        <v>3.4070260448213485E-2</v>
      </c>
      <c r="Q36" s="5">
        <f>('CUMULS INDEX'!O20/'CUMULS INDEX'!O36)-1</f>
        <v>4.5954198473282748E-2</v>
      </c>
      <c r="R36" s="5">
        <f>('CUMULS INDEX'!P20/'CUMULS INDEX'!P36)-1</f>
        <v>3.4190765297970938E-2</v>
      </c>
      <c r="S36" s="5">
        <f>('CUMULS INDEX'!Q20/'CUMULS INDEX'!Q36)-1</f>
        <v>2.8527131782945858E-2</v>
      </c>
      <c r="T36" s="5">
        <f>('CUMULS INDEX'!R20/'CUMULS INDEX'!R36)-1</f>
        <v>3.6455929856944902E-2</v>
      </c>
      <c r="U36" s="5">
        <f>('CUMULS INDEX'!S20/'CUMULS INDEX'!S36)-1</f>
        <v>2.2897267592733916E-2</v>
      </c>
      <c r="V36" s="5">
        <f>('CUMULS INDEX'!T20/'CUMULS INDEX'!T36)-1</f>
        <v>5.4767652383826082E-2</v>
      </c>
      <c r="W36" s="5">
        <f>('CUMULS INDEX'!U20/'CUMULS INDEX'!U36)-1</f>
        <v>2.8817541111981093E-2</v>
      </c>
      <c r="X36" s="5">
        <f>('CUMULS INDEX'!V20/'CUMULS INDEX'!V36)-1</f>
        <v>3.1891723708774133E-2</v>
      </c>
      <c r="Y36" s="5">
        <f>('CUMULS INDEX'!W20/'CUMULS INDEX'!W36)-1</f>
        <v>3.6959665756066018E-2</v>
      </c>
      <c r="Z36" s="5">
        <f>('CUMULS INDEX'!X20/'CUMULS INDEX'!X36)-1</f>
        <v>7.6162479957242457E-3</v>
      </c>
      <c r="AA36" s="5">
        <f>('CUMULS INDEX'!Y20/'CUMULS INDEX'!Y36)-1</f>
        <v>2.5723472668810254E-2</v>
      </c>
      <c r="AD36" s="5"/>
    </row>
    <row r="37" spans="1:30">
      <c r="C37" t="str">
        <f>'A MODIFIER'!A9</f>
        <v>*/2024</v>
      </c>
      <c r="D37" s="5">
        <f>('CUMULS INDEX'!B20/'CUMULS INDEX'!B52)-1</f>
        <v>4.8153846153845992E-2</v>
      </c>
      <c r="E37" s="5">
        <f>('CUMULS INDEX'!C20/'CUMULS INDEX'!C52)-1</f>
        <v>4.2409710774763631E-2</v>
      </c>
      <c r="F37" s="5">
        <f>('CUMULS INDEX'!D20/'CUMULS INDEX'!D52)-1</f>
        <v>6.5783462768387313E-2</v>
      </c>
      <c r="G37" s="5">
        <f>('CUMULS INDEX'!E20/'CUMULS INDEX'!E52)-1</f>
        <v>6.2359647607531654E-2</v>
      </c>
      <c r="H37" s="5">
        <f>('CUMULS INDEX'!F20/'CUMULS INDEX'!F52)-1</f>
        <v>4.0565177757520443E-2</v>
      </c>
      <c r="I37" s="5">
        <f>('CUMULS INDEX'!G20/'CUMULS INDEX'!G52)-1</f>
        <v>3.9879608728367266E-2</v>
      </c>
      <c r="J37" s="5">
        <f>('CUMULS INDEX'!H20/'CUMULS INDEX'!H52)-1</f>
        <v>3.0105294379356495E-2</v>
      </c>
      <c r="K37" s="5">
        <f>('CUMULS INDEX'!I20/'CUMULS INDEX'!I52)-1</f>
        <v>7.3307460112117306E-2</v>
      </c>
      <c r="L37" s="5">
        <f>('CUMULS INDEX'!J20/'CUMULS INDEX'!J52)-1</f>
        <v>8.8861270778312962E-2</v>
      </c>
      <c r="M37" s="5">
        <f>('CUMULS INDEX'!K20/'CUMULS INDEX'!K52)-1</f>
        <v>4.5197740112994378E-2</v>
      </c>
      <c r="N37" s="5">
        <f>('CUMULS INDEX'!L20/'CUMULS INDEX'!L52)-1</f>
        <v>4.1189222669556935E-2</v>
      </c>
      <c r="O37" s="5">
        <f>('CUMULS INDEX'!M20/'CUMULS INDEX'!M52)-1</f>
        <v>4.142857142857137E-2</v>
      </c>
      <c r="P37" s="5">
        <f>('CUMULS INDEX'!N20/'CUMULS INDEX'!N52)-1</f>
        <v>4.9162697803042388E-2</v>
      </c>
      <c r="Q37" s="5">
        <f>('CUMULS INDEX'!O20/'CUMULS INDEX'!O52)-1</f>
        <v>5.0283611835045594E-2</v>
      </c>
      <c r="R37" s="5">
        <f>('CUMULS INDEX'!P20/'CUMULS INDEX'!P52)-1</f>
        <v>3.5017588743204264E-2</v>
      </c>
      <c r="S37" s="5">
        <f>('CUMULS INDEX'!Q20/'CUMULS INDEX'!Q52)-1</f>
        <v>3.7210756722952043E-2</v>
      </c>
      <c r="T37" s="5">
        <f>('CUMULS INDEX'!R20/'CUMULS INDEX'!R52)-1</f>
        <v>3.5500230520977283E-2</v>
      </c>
      <c r="U37" s="5">
        <f>('CUMULS INDEX'!S20/'CUMULS INDEX'!S52)-1</f>
        <v>2.8233849930949795E-2</v>
      </c>
      <c r="V37" s="5">
        <f>('CUMULS INDEX'!T20/'CUMULS INDEX'!T52)-1</f>
        <v>7.3062164236377347E-2</v>
      </c>
      <c r="W37" s="5">
        <f>('CUMULS INDEX'!U20/'CUMULS INDEX'!U52)-1</f>
        <v>3.0108201348596486E-2</v>
      </c>
      <c r="X37" s="5">
        <f>('CUMULS INDEX'!V20/'CUMULS INDEX'!V52)-1</f>
        <v>5.3358742258218239E-2</v>
      </c>
      <c r="Y37" s="5">
        <f>('CUMULS INDEX'!W20/'CUMULS INDEX'!W52)-1</f>
        <v>3.0172413793103425E-2</v>
      </c>
      <c r="Z37" s="5">
        <f>('CUMULS INDEX'!X20/'CUMULS INDEX'!X52)-1</f>
        <v>7.9628400796272203E-4</v>
      </c>
      <c r="AA37" s="5">
        <f>('CUMULS INDEX'!Y20/'CUMULS INDEX'!Y52)-1</f>
        <v>3.8319277999704138E-2</v>
      </c>
      <c r="AD37" s="5"/>
    </row>
    <row r="38" spans="1:30">
      <c r="A38"/>
      <c r="D38" s="5"/>
      <c r="E38" s="5"/>
      <c r="F38" s="5"/>
      <c r="G38" s="5"/>
      <c r="H38" s="5"/>
      <c r="I38" s="5"/>
      <c r="J38" s="5"/>
      <c r="K38" s="5"/>
      <c r="L38" s="5"/>
      <c r="M38" s="5"/>
      <c r="N38" s="5"/>
      <c r="O38" s="5"/>
      <c r="P38" s="5"/>
      <c r="Q38" s="5"/>
      <c r="R38" s="5"/>
      <c r="S38" s="5"/>
      <c r="T38" s="5"/>
      <c r="U38" s="5"/>
      <c r="V38" s="5"/>
      <c r="W38" s="5"/>
      <c r="X38" s="5"/>
      <c r="Y38" s="5"/>
      <c r="Z38" s="5"/>
    </row>
    <row r="39" spans="1:30" ht="21">
      <c r="B39" s="243" t="s">
        <v>184</v>
      </c>
      <c r="C39" s="244"/>
      <c r="D39" s="244"/>
      <c r="E39" s="244"/>
      <c r="F39" s="244"/>
      <c r="G39" s="244"/>
      <c r="H39" s="244"/>
      <c r="I39" s="244"/>
      <c r="J39" s="244"/>
      <c r="K39" s="244"/>
      <c r="L39" s="244"/>
      <c r="M39" s="244"/>
    </row>
    <row r="40" spans="1:30">
      <c r="I40" t="str" cm="1">
        <f t="array" ref="I40:I41">'A MODIFIER'!A5:A6</f>
        <v>*/2025 = Cumul janv 2026-mai 2026 / Cumul janv 2025-mai 2025</v>
      </c>
    </row>
    <row r="41" spans="1:30" ht="15.75">
      <c r="A41" s="141"/>
      <c r="B41" s="141"/>
      <c r="C41" s="141"/>
      <c r="I41" t="str">
        <v>*/2024 = Cumul janv 2026-mai 2026 / Cumul janv 2024-mai 2024</v>
      </c>
    </row>
    <row r="42" spans="1:30">
      <c r="A42"/>
    </row>
    <row r="43" spans="1:30">
      <c r="B43" s="242" t="s">
        <v>187</v>
      </c>
      <c r="C43" s="242"/>
      <c r="D43" s="242"/>
      <c r="E43" s="242"/>
      <c r="J43" s="242" t="s">
        <v>188</v>
      </c>
      <c r="K43" s="242"/>
      <c r="L43" s="242"/>
      <c r="M43" s="242"/>
    </row>
    <row r="44" spans="1:30">
      <c r="D44" t="str">
        <f>'A MODIFIER'!A10</f>
        <v>*/2025</v>
      </c>
      <c r="E44" t="str">
        <f>'A MODIFIER'!A9</f>
        <v>*/2024</v>
      </c>
      <c r="L44" t="str">
        <f>'A MODIFIER'!A10</f>
        <v>*/2025</v>
      </c>
      <c r="M44" t="str">
        <f>'A MODIFIER'!A9</f>
        <v>*/2024</v>
      </c>
    </row>
    <row r="45" spans="1:30">
      <c r="A45" s="34" t="s">
        <v>84</v>
      </c>
      <c r="B45" s="32" t="s">
        <v>47</v>
      </c>
      <c r="C45" t="s">
        <v>115</v>
      </c>
      <c r="D45" s="137" cm="1">
        <f t="array" ref="D45:D83">TRANSPOSE(D87:AP87)</f>
        <v>1.5490258703289683E-2</v>
      </c>
      <c r="E45" s="4" cm="1">
        <f t="array" ref="E45:E83">TRANSPOSE(D88:AP88)</f>
        <v>2.1526104417670666E-2</v>
      </c>
      <c r="I45" t="str" cm="1">
        <f t="array" ref="I45:M83">_xlfn._xlws.SORT(A45:E83,4,-1,FALSE)</f>
        <v>https://www.fntp.fr/sites/default/files/content/indice_gazole_htt.pdf</v>
      </c>
      <c r="J45" t="str">
        <v>Gazole routier HTT</v>
      </c>
      <c r="K45" t="str">
        <v>Gazole routier HTT</v>
      </c>
      <c r="L45" s="4">
        <v>0.35607335928372263</v>
      </c>
      <c r="M45" s="4">
        <v>0.17981630043018293</v>
      </c>
    </row>
    <row r="46" spans="1:30">
      <c r="A46" s="211" t="s">
        <v>360</v>
      </c>
      <c r="B46" s="32" t="s">
        <v>361</v>
      </c>
      <c r="C46" t="s">
        <v>116</v>
      </c>
      <c r="D46" s="137">
        <v>3.6595991867557354E-2</v>
      </c>
      <c r="E46" s="4">
        <v>7.3222071868891625E-2</v>
      </c>
      <c r="I46" t="str">
        <v>https://www.insee.fr/fr/statistiques/serie/010777519</v>
      </c>
      <c r="J46" t="str">
        <v>010777519</v>
      </c>
      <c r="K46" t="str">
        <v>GNR pour les Travaux Publics</v>
      </c>
      <c r="L46" s="4">
        <v>0.33730051393021365</v>
      </c>
      <c r="M46" s="4">
        <v>0.33965587318791468</v>
      </c>
    </row>
    <row r="47" spans="1:30">
      <c r="A47" s="34" t="s">
        <v>85</v>
      </c>
      <c r="B47" s="32" t="s">
        <v>49</v>
      </c>
      <c r="C47" t="s">
        <v>117</v>
      </c>
      <c r="D47" s="137">
        <v>2.1311232795619084E-2</v>
      </c>
      <c r="E47" s="4">
        <v>4.7828727604008581E-2</v>
      </c>
      <c r="I47" t="str">
        <v>https://www.insee.fr/fr/statistiques/serie/011816634</v>
      </c>
      <c r="J47" t="str">
        <v>011816634</v>
      </c>
      <c r="K47" t="str">
        <v>Gazole</v>
      </c>
      <c r="L47" s="4">
        <v>0.19374962748097646</v>
      </c>
      <c r="M47" s="4">
        <v>0.10588603401310426</v>
      </c>
    </row>
    <row r="48" spans="1:30">
      <c r="A48" s="34" t="s">
        <v>279</v>
      </c>
      <c r="B48" s="32" t="s">
        <v>317</v>
      </c>
      <c r="C48" t="s">
        <v>316</v>
      </c>
      <c r="D48" s="137">
        <v>0.33730051393021365</v>
      </c>
      <c r="E48" s="4">
        <v>0.33965587318791468</v>
      </c>
      <c r="I48" t="str">
        <v>https://www.insee.fr/fr/statistiques/serie/010764224</v>
      </c>
      <c r="J48" t="str">
        <v>010764224</v>
      </c>
      <c r="K48" t="str">
        <v>Matériel de distribution et de commande électrique</v>
      </c>
      <c r="L48" s="4">
        <v>0.17282700421940933</v>
      </c>
      <c r="M48" s="4">
        <v>0.16829186281102904</v>
      </c>
    </row>
    <row r="49" spans="1:13">
      <c r="A49" s="221" t="s">
        <v>357</v>
      </c>
      <c r="B49" s="32" t="s">
        <v>358</v>
      </c>
      <c r="C49" t="s">
        <v>118</v>
      </c>
      <c r="D49" s="137">
        <v>0.19374962748097646</v>
      </c>
      <c r="E49" s="4">
        <v>0.10588603401310426</v>
      </c>
      <c r="G49" s="5"/>
      <c r="I49" t="str">
        <v>https://www.insee.fr/fr/statistiques/serie/010764223</v>
      </c>
      <c r="J49" t="str">
        <v>010764223</v>
      </c>
      <c r="K49" t="str">
        <v>Moteurs, génératrices, transfo. électr., matér. distrib., cmde électr.</v>
      </c>
      <c r="L49" s="4">
        <v>0.10969170499063186</v>
      </c>
      <c r="M49" s="4">
        <v>0.11711248285322351</v>
      </c>
    </row>
    <row r="50" spans="1:13">
      <c r="A50" s="34" t="s">
        <v>87</v>
      </c>
      <c r="B50" s="32" t="s">
        <v>51</v>
      </c>
      <c r="C50" t="s">
        <v>119</v>
      </c>
      <c r="D50" s="137">
        <v>9.6153846153845812E-3</v>
      </c>
      <c r="E50" s="4">
        <v>1.6992353440951513E-2</v>
      </c>
      <c r="I50" t="str">
        <v>https://www.insee.fr/fr/statistiques/serie/010763930</v>
      </c>
      <c r="J50" t="str">
        <v>010763930</v>
      </c>
      <c r="K50" t="str">
        <v>Fils et câbles d'énergie</v>
      </c>
      <c r="L50" s="4">
        <v>7.8446785096682792E-2</v>
      </c>
      <c r="M50" s="4">
        <v>0.14048212801330018</v>
      </c>
    </row>
    <row r="51" spans="1:13">
      <c r="A51" s="34" t="s">
        <v>88</v>
      </c>
      <c r="B51" s="32" t="s">
        <v>52</v>
      </c>
      <c r="C51" t="s">
        <v>120</v>
      </c>
      <c r="D51" s="137">
        <v>2.2526146419951765E-2</v>
      </c>
      <c r="E51" s="4">
        <v>2.6987718164188879E-2</v>
      </c>
      <c r="I51" t="str">
        <v>https://www.insee.fr/fr/statistiques/serie/010764143</v>
      </c>
      <c r="J51" t="str">
        <v>010764143</v>
      </c>
      <c r="K51" t="str">
        <v>Matières plastiques sous formes primaires</v>
      </c>
      <c r="L51" s="4">
        <v>6.1597281223449318E-2</v>
      </c>
      <c r="M51" s="4">
        <v>4.3859649122806932E-2</v>
      </c>
    </row>
    <row r="52" spans="1:13">
      <c r="A52" s="34" t="s">
        <v>280</v>
      </c>
      <c r="B52" s="186" t="s">
        <v>320</v>
      </c>
      <c r="C52" t="s">
        <v>121</v>
      </c>
      <c r="D52" s="137">
        <v>-9.5969033635878054E-2</v>
      </c>
      <c r="E52" s="4">
        <v>-0.22972819288070045</v>
      </c>
      <c r="I52" t="str">
        <v>https://www.insee.fr/fr/statistiques/serie/010763845</v>
      </c>
      <c r="J52" t="str">
        <v>010763845</v>
      </c>
      <c r="K52" t="str">
        <v>Tubes, tuyaux en matière plastique</v>
      </c>
      <c r="L52" s="4">
        <v>4.6745562130177554E-2</v>
      </c>
      <c r="M52" s="4">
        <v>-3.7671877943101784E-4</v>
      </c>
    </row>
    <row r="53" spans="1:13">
      <c r="A53" s="158" t="s">
        <v>281</v>
      </c>
      <c r="B53" s="186" t="s">
        <v>321</v>
      </c>
      <c r="C53" t="s">
        <v>263</v>
      </c>
      <c r="D53" s="137">
        <v>-8.182865923933913E-2</v>
      </c>
      <c r="E53" s="4">
        <v>0.35257498585172642</v>
      </c>
      <c r="I53" t="str">
        <v>https://www.insee.fr/fr/statistiques/serie/010765839</v>
      </c>
      <c r="J53" t="str">
        <v>010765839</v>
      </c>
      <c r="K53" t="str">
        <v>Tôles quarto et autres produits plats en aciers non alliés de qualité</v>
      </c>
      <c r="L53" s="4">
        <v>4.5031815956926069E-2</v>
      </c>
      <c r="M53" s="4">
        <v>-4.2386185243327934E-2</v>
      </c>
    </row>
    <row r="54" spans="1:13" ht="30">
      <c r="A54" s="34" t="s">
        <v>90</v>
      </c>
      <c r="B54" s="32" t="s">
        <v>55</v>
      </c>
      <c r="C54" t="s">
        <v>55</v>
      </c>
      <c r="D54" s="137">
        <v>0.35607335928372263</v>
      </c>
      <c r="E54" s="4">
        <v>0.17981630043018293</v>
      </c>
      <c r="I54" t="str">
        <v>https://www.insee.fr/fr/statistiques/serie/011800704</v>
      </c>
      <c r="J54" t="str">
        <v>011800704</v>
      </c>
      <c r="K54" t="str">
        <v>Travail</v>
      </c>
      <c r="L54" s="4">
        <v>3.6595991867557354E-2</v>
      </c>
      <c r="M54" s="4">
        <v>7.3222071868891625E-2</v>
      </c>
    </row>
    <row r="55" spans="1:13">
      <c r="A55" s="34" t="s">
        <v>282</v>
      </c>
      <c r="B55" s="32" t="s">
        <v>322</v>
      </c>
      <c r="C55" t="s">
        <v>122</v>
      </c>
      <c r="D55" s="137">
        <v>4.6745562130177554E-2</v>
      </c>
      <c r="E55" s="4">
        <v>-3.7671877943101784E-4</v>
      </c>
      <c r="I55" t="str">
        <v>https://www.insee.fr/fr/statistiques/serie/010764187</v>
      </c>
      <c r="J55" t="str">
        <v>010764187</v>
      </c>
      <c r="K55" t="str">
        <v>Tubes, tuyaux, profilés creux et accessoires correspondants en acier</v>
      </c>
      <c r="L55" s="4">
        <v>3.149736147757265E-2</v>
      </c>
      <c r="M55" s="4">
        <v>1.6012810248198228E-3</v>
      </c>
    </row>
    <row r="56" spans="1:13">
      <c r="A56" s="34" t="s">
        <v>284</v>
      </c>
      <c r="B56" s="186" t="s">
        <v>283</v>
      </c>
      <c r="C56" t="s">
        <v>123</v>
      </c>
      <c r="D56" s="137">
        <v>2.7468581687612348E-2</v>
      </c>
      <c r="E56" s="4">
        <v>6.7524715538145985E-2</v>
      </c>
      <c r="I56" t="str">
        <v>https://www.insee.fr/fr/statistiques/serie/010763881</v>
      </c>
      <c r="J56" t="str">
        <v>010763881</v>
      </c>
      <c r="K56" t="str">
        <v>Produits sidérurgiques en acier non allié</v>
      </c>
      <c r="L56" s="4">
        <v>3.1263292216078487E-2</v>
      </c>
      <c r="M56" s="4">
        <v>-7.1662571662570729E-3</v>
      </c>
    </row>
    <row r="57" spans="1:13">
      <c r="A57" s="34" t="s">
        <v>285</v>
      </c>
      <c r="B57" s="186" t="s">
        <v>323</v>
      </c>
      <c r="C57" t="s">
        <v>124</v>
      </c>
      <c r="D57" s="137">
        <v>3.0242859324881577E-2</v>
      </c>
      <c r="E57" s="4">
        <v>4.1377180793577217E-2</v>
      </c>
      <c r="I57" t="str">
        <v>https://www.insee.fr/fr/statistiques/serie/010764301</v>
      </c>
      <c r="J57" t="str">
        <v>010764301</v>
      </c>
      <c r="K57" t="str">
        <v>Collecte, traitement et élimination des déchets ; récupération de matériaux</v>
      </c>
      <c r="L57" s="4">
        <v>3.0523255813953654E-2</v>
      </c>
      <c r="M57" s="4">
        <v>3.730797366495997E-2</v>
      </c>
    </row>
    <row r="58" spans="1:13">
      <c r="A58" s="34" t="s">
        <v>286</v>
      </c>
      <c r="B58" s="186" t="s">
        <v>324</v>
      </c>
      <c r="C58" t="s">
        <v>125</v>
      </c>
      <c r="D58" s="137">
        <v>1.0889292196007094E-2</v>
      </c>
      <c r="E58" s="4">
        <v>-1.0657193605683735E-2</v>
      </c>
      <c r="I58" t="str">
        <v>https://www.insee.fr/fr/statistiques/serie/010764180</v>
      </c>
      <c r="J58" t="str">
        <v>010764180</v>
      </c>
      <c r="K58" t="str">
        <v>Béton prêt à l'emploi</v>
      </c>
      <c r="L58" s="4">
        <v>3.0242859324881577E-2</v>
      </c>
      <c r="M58" s="4">
        <v>4.1377180793577217E-2</v>
      </c>
    </row>
    <row r="59" spans="1:13">
      <c r="A59" s="34" t="s">
        <v>287</v>
      </c>
      <c r="B59" s="195" t="s">
        <v>319</v>
      </c>
      <c r="C59" t="s">
        <v>126</v>
      </c>
      <c r="D59" s="137">
        <v>1.9557385486361101E-2</v>
      </c>
      <c r="E59" s="4">
        <v>1.2608621570965761E-2</v>
      </c>
      <c r="I59" t="str">
        <v>https://www.insee.fr/fr/statistiques/serie/010764116#Tableau</v>
      </c>
      <c r="J59" t="str">
        <v> 010764116</v>
      </c>
      <c r="K59" t="str">
        <v>Ensemble des produits du sciage</v>
      </c>
      <c r="L59" s="4">
        <v>2.7468581687612348E-2</v>
      </c>
      <c r="M59" s="4">
        <v>6.7524715538145985E-2</v>
      </c>
    </row>
    <row r="60" spans="1:13">
      <c r="A60" s="34" t="s">
        <v>288</v>
      </c>
      <c r="B60" s="32" t="s">
        <v>325</v>
      </c>
      <c r="C60" t="s">
        <v>127</v>
      </c>
      <c r="D60" s="137">
        <v>1.3226527570789903E-2</v>
      </c>
      <c r="E60" s="4">
        <v>1.7776946107784575E-2</v>
      </c>
      <c r="I60" t="str">
        <v>https://www.insee.fr/fr/statistiques/serie/010764101</v>
      </c>
      <c r="J60" t="str">
        <v>010764101</v>
      </c>
      <c r="K60" t="str">
        <v>Autres textiles</v>
      </c>
      <c r="L60" s="4">
        <v>2.6507276507276467E-2</v>
      </c>
      <c r="M60" s="4">
        <v>4.8858204992034082E-2</v>
      </c>
    </row>
    <row r="61" spans="1:13">
      <c r="A61" s="34" t="s">
        <v>289</v>
      </c>
      <c r="B61" s="32" t="s">
        <v>326</v>
      </c>
      <c r="C61" t="s">
        <v>128</v>
      </c>
      <c r="D61" s="137">
        <v>2.6470991633520624E-2</v>
      </c>
      <c r="E61" s="4">
        <v>3.7427224840587803E-2</v>
      </c>
      <c r="I61" t="str">
        <v>https://www.insee.fr/fr/statistiques/serie/010764176</v>
      </c>
      <c r="J61" t="str">
        <v>010764176</v>
      </c>
      <c r="K61" t="str">
        <v>Ciment, chaux et plâtre</v>
      </c>
      <c r="L61" s="4">
        <v>2.6470991633520624E-2</v>
      </c>
      <c r="M61" s="4">
        <v>3.7427224840587803E-2</v>
      </c>
    </row>
    <row r="62" spans="1:13">
      <c r="A62" s="34" t="s">
        <v>290</v>
      </c>
      <c r="B62" s="32" t="s">
        <v>327</v>
      </c>
      <c r="C62" t="s">
        <v>258</v>
      </c>
      <c r="D62" s="137">
        <v>-9.5602294455069403E-3</v>
      </c>
      <c r="E62" s="4">
        <v>4.8775998527517128E-2</v>
      </c>
      <c r="I62" t="str">
        <v>https://www.insee.fr/fr/statistiques/serie/001711943</v>
      </c>
      <c r="J62" t="str">
        <v>001711943</v>
      </c>
      <c r="K62" t="str">
        <v>Transports routiers</v>
      </c>
      <c r="L62" s="4">
        <v>2.2526146419951765E-2</v>
      </c>
      <c r="M62" s="4">
        <v>2.6987718164188879E-2</v>
      </c>
    </row>
    <row r="63" spans="1:13">
      <c r="A63" s="34" t="s">
        <v>291</v>
      </c>
      <c r="B63" s="32" t="s">
        <v>328</v>
      </c>
      <c r="C63" t="s">
        <v>129</v>
      </c>
      <c r="D63" s="137">
        <v>-8.4911822338340492E-3</v>
      </c>
      <c r="E63" s="4">
        <v>-2.7546444586803331E-2</v>
      </c>
      <c r="I63" t="str">
        <v>https://www.insee.fr/fr/statistiques/serie/001565195</v>
      </c>
      <c r="J63" t="str">
        <v>001565195</v>
      </c>
      <c r="K63" t="str">
        <v>Travail activités spécialisées</v>
      </c>
      <c r="L63" s="4">
        <v>2.1311232795619084E-2</v>
      </c>
      <c r="M63" s="4">
        <v>4.7828727604008581E-2</v>
      </c>
    </row>
    <row r="64" spans="1:13">
      <c r="A64" s="34" t="s">
        <v>292</v>
      </c>
      <c r="B64" s="32" t="s">
        <v>329</v>
      </c>
      <c r="C64" t="s">
        <v>130</v>
      </c>
      <c r="D64" s="137">
        <v>-3.4975132360019368E-2</v>
      </c>
      <c r="E64" s="4">
        <v>-4.1390728476821126E-3</v>
      </c>
      <c r="I64" t="str">
        <v>https://www.insee.fr/fr/statistiques/serie/010765500</v>
      </c>
      <c r="J64" t="str">
        <v>010765500</v>
      </c>
      <c r="K64" t="str">
        <v>Sables et granulats</v>
      </c>
      <c r="L64" s="4">
        <v>1.9557385486361101E-2</v>
      </c>
      <c r="M64" s="4">
        <v>1.2608621570965761E-2</v>
      </c>
    </row>
    <row r="65" spans="1:13">
      <c r="A65" s="34" t="s">
        <v>293</v>
      </c>
      <c r="B65" s="32" t="s">
        <v>330</v>
      </c>
      <c r="C65" t="s">
        <v>131</v>
      </c>
      <c r="D65" s="137">
        <v>-3.1928084314941318E-2</v>
      </c>
      <c r="E65" s="4">
        <v>-2.710280373831786E-2</v>
      </c>
      <c r="I65" t="str">
        <v>https://www.insee.fr/fr/statistiques/serie/010766292</v>
      </c>
      <c r="J65" t="str">
        <v>010766292</v>
      </c>
      <c r="K65" t="str">
        <v>Réseaux d’assainissement</v>
      </c>
      <c r="L65" s="4">
        <v>1.552795031055898E-2</v>
      </c>
      <c r="M65" s="4">
        <v>1.3639181649101051E-2</v>
      </c>
    </row>
    <row r="66" spans="1:13">
      <c r="A66" s="34" t="s">
        <v>294</v>
      </c>
      <c r="B66" s="32" t="s">
        <v>331</v>
      </c>
      <c r="C66" t="s">
        <v>132</v>
      </c>
      <c r="D66" s="137">
        <v>8.8803761100468837E-3</v>
      </c>
      <c r="E66" s="4">
        <v>3.4530386740350139E-4</v>
      </c>
      <c r="I66" t="str">
        <v>https://www.insee.fr/fr/statistiques/serie/001711009</v>
      </c>
      <c r="J66" t="str">
        <v>001711009</v>
      </c>
      <c r="K66" t="str">
        <v>Matériel</v>
      </c>
      <c r="L66" s="4">
        <v>1.5490258703289683E-2</v>
      </c>
      <c r="M66" s="4">
        <v>2.1526104417670666E-2</v>
      </c>
    </row>
    <row r="67" spans="1:13">
      <c r="A67" s="34" t="s">
        <v>295</v>
      </c>
      <c r="B67" s="32" t="s">
        <v>332</v>
      </c>
      <c r="C67" t="s">
        <v>133</v>
      </c>
      <c r="D67" s="137">
        <v>7.1284673795133369E-3</v>
      </c>
      <c r="E67" s="4">
        <v>1.4517639712769537E-2</v>
      </c>
      <c r="I67" t="str">
        <v>https://www.insee.fr/fr/statistiques/serie/010764160</v>
      </c>
      <c r="J67" t="str">
        <v>010764160</v>
      </c>
      <c r="K67" t="str">
        <v>Plaques, feuilles, tubes et profilés en matières plastiques</v>
      </c>
      <c r="L67" s="4">
        <v>1.3226527570789903E-2</v>
      </c>
      <c r="M67" s="4">
        <v>1.7776946107784575E-2</v>
      </c>
    </row>
    <row r="68" spans="1:13">
      <c r="A68" s="34" t="s">
        <v>296</v>
      </c>
      <c r="B68" s="32" t="s">
        <v>333</v>
      </c>
      <c r="C68" t="s">
        <v>134</v>
      </c>
      <c r="D68" s="137">
        <v>8.314220183486265E-3</v>
      </c>
      <c r="E68" s="4">
        <v>1.6033511483460661E-2</v>
      </c>
      <c r="I68" t="str">
        <v>https://www.insee.fr/fr/statistiques/serie/010766236</v>
      </c>
      <c r="J68" t="str">
        <v>010766236</v>
      </c>
      <c r="K68" t="str">
        <v>Barres crénelées ou nervurées pour béton armé</v>
      </c>
      <c r="L68" s="4">
        <v>1.0889292196007094E-2</v>
      </c>
      <c r="M68" s="4">
        <v>-1.0657193605683735E-2</v>
      </c>
    </row>
    <row r="69" spans="1:13">
      <c r="A69" s="158" t="s">
        <v>297</v>
      </c>
      <c r="B69" s="32" t="s">
        <v>334</v>
      </c>
      <c r="C69" t="s">
        <v>266</v>
      </c>
      <c r="D69" s="137">
        <v>1.552795031055898E-2</v>
      </c>
      <c r="E69" s="4">
        <v>1.3639181649101051E-2</v>
      </c>
      <c r="I69" t="str">
        <v>https://www.insee.fr/fr/statistiques/serie/001711011</v>
      </c>
      <c r="J69" t="str">
        <v>001711011</v>
      </c>
      <c r="K69" t="str">
        <v>Frais divers</v>
      </c>
      <c r="L69" s="4">
        <v>9.6153846153845812E-3</v>
      </c>
      <c r="M69" s="4">
        <v>1.6992353440951513E-2</v>
      </c>
    </row>
    <row r="70" spans="1:13">
      <c r="A70" s="34" t="s">
        <v>298</v>
      </c>
      <c r="B70" s="32" t="s">
        <v>335</v>
      </c>
      <c r="C70" t="s">
        <v>261</v>
      </c>
      <c r="D70" s="137">
        <v>2.6507276507276467E-2</v>
      </c>
      <c r="E70" s="4">
        <v>4.8858204992034082E-2</v>
      </c>
      <c r="I70" t="str">
        <v>https://www.insee.fr/fr/statistiques/serie/010764181</v>
      </c>
      <c r="J70" t="str">
        <v>010764181</v>
      </c>
      <c r="K70" t="str">
        <v>Mortiers et bétons secs</v>
      </c>
      <c r="L70" s="4">
        <v>8.8803761100468837E-3</v>
      </c>
      <c r="M70" s="4">
        <v>3.4530386740350139E-4</v>
      </c>
    </row>
    <row r="71" spans="1:13">
      <c r="A71" s="34" t="s">
        <v>299</v>
      </c>
      <c r="B71" s="32" t="s">
        <v>336</v>
      </c>
      <c r="C71" t="s">
        <v>135</v>
      </c>
      <c r="D71" s="137">
        <v>6.1597281223449318E-2</v>
      </c>
      <c r="E71" s="4">
        <v>4.3859649122806932E-2</v>
      </c>
      <c r="I71" t="str">
        <v>https://www.insee.fr/fr/statistiques/serie/010764172</v>
      </c>
      <c r="J71" t="str">
        <v>010764172</v>
      </c>
      <c r="K71" t="str">
        <v>Tuiles, briques et produits de construction en terre cuite</v>
      </c>
      <c r="L71" s="4">
        <v>8.314220183486265E-3</v>
      </c>
      <c r="M71" s="4">
        <v>1.6033511483460661E-2</v>
      </c>
    </row>
    <row r="72" spans="1:13">
      <c r="A72" s="34" t="s">
        <v>300</v>
      </c>
      <c r="B72" s="32" t="s">
        <v>337</v>
      </c>
      <c r="C72" t="s">
        <v>136</v>
      </c>
      <c r="D72" s="137">
        <v>3.149736147757265E-2</v>
      </c>
      <c r="E72" s="4">
        <v>1.6012810248198228E-3</v>
      </c>
      <c r="I72" t="str">
        <v>https://www.insee.fr/fr/statistiques/serie/010764195</v>
      </c>
      <c r="J72" t="str">
        <v>010764195</v>
      </c>
      <c r="K72" t="str">
        <v>Travaux de fonderie de fonte</v>
      </c>
      <c r="L72" s="4">
        <v>7.1284673795133369E-3</v>
      </c>
      <c r="M72" s="4">
        <v>1.4517639712769537E-2</v>
      </c>
    </row>
    <row r="73" spans="1:13">
      <c r="A73" s="158" t="s">
        <v>301</v>
      </c>
      <c r="B73" s="32" t="s">
        <v>338</v>
      </c>
      <c r="C73" t="s">
        <v>137</v>
      </c>
      <c r="D73" s="137">
        <v>-8.4331253162417408E-4</v>
      </c>
      <c r="E73" s="4">
        <v>-3.0600556373752363E-2</v>
      </c>
      <c r="I73" t="str">
        <v>https://www.insee.fr/fr/statistiques/serie/010764306</v>
      </c>
      <c r="J73" t="str">
        <v>010764306</v>
      </c>
      <c r="K73" t="str">
        <v>Traitement et élimination des déchets non dangereux</v>
      </c>
      <c r="L73" s="4">
        <v>4.3948613928330715E-3</v>
      </c>
      <c r="M73" s="4">
        <v>2.7672085783466027E-2</v>
      </c>
    </row>
    <row r="74" spans="1:13">
      <c r="A74" s="34" t="s">
        <v>302</v>
      </c>
      <c r="B74" s="32" t="s">
        <v>339</v>
      </c>
      <c r="C74" t="s">
        <v>138</v>
      </c>
      <c r="D74" s="137">
        <v>7.8446785096682792E-2</v>
      </c>
      <c r="E74" s="4">
        <v>0.14048212801330018</v>
      </c>
      <c r="I74" t="str">
        <v>https://www.insee.fr/fr/statistiques/serie/010764179</v>
      </c>
      <c r="J74" t="str">
        <v>010764179</v>
      </c>
      <c r="K74" t="str">
        <v>Éléments en béton pour la construction</v>
      </c>
      <c r="L74" s="4">
        <v>-8.4331253162417408E-4</v>
      </c>
      <c r="M74" s="4">
        <v>-3.0600556373752363E-2</v>
      </c>
    </row>
    <row r="75" spans="1:13">
      <c r="A75" s="34" t="s">
        <v>303</v>
      </c>
      <c r="B75" s="32" t="s">
        <v>340</v>
      </c>
      <c r="C75" t="s">
        <v>139</v>
      </c>
      <c r="D75" s="137">
        <v>0.10969170499063186</v>
      </c>
      <c r="E75" s="4">
        <v>0.11711248285322351</v>
      </c>
      <c r="I75" t="str">
        <v>https://www.insee.fr/fr/statistiques/serie/010764228</v>
      </c>
      <c r="J75" t="str">
        <v>010764228</v>
      </c>
      <c r="K75" t="str">
        <v>Appareils d'éclairage électrique</v>
      </c>
      <c r="L75" s="4">
        <v>-5.0439006164768596E-3</v>
      </c>
      <c r="M75" s="4">
        <v>-7.269338303821038E-3</v>
      </c>
    </row>
    <row r="76" spans="1:13">
      <c r="A76" s="34" t="s">
        <v>304</v>
      </c>
      <c r="B76" s="32" t="s">
        <v>341</v>
      </c>
      <c r="C76" t="s">
        <v>140</v>
      </c>
      <c r="D76" s="137">
        <v>0.17282700421940933</v>
      </c>
      <c r="E76" s="4">
        <v>0.16829186281102904</v>
      </c>
      <c r="I76" t="str">
        <v>https://www.insee.fr/fr/statistiques/serie/010765837</v>
      </c>
      <c r="J76" t="str">
        <v>010765837</v>
      </c>
      <c r="K76" t="str">
        <v>Acier pour la construction</v>
      </c>
      <c r="L76" s="4">
        <v>-8.4911822338340492E-3</v>
      </c>
      <c r="M76" s="4">
        <v>-2.7546444586803331E-2</v>
      </c>
    </row>
    <row r="77" spans="1:13">
      <c r="A77" s="34" t="s">
        <v>318</v>
      </c>
      <c r="B77" s="32" t="s">
        <v>342</v>
      </c>
      <c r="C77" t="s">
        <v>141</v>
      </c>
      <c r="D77" s="137">
        <v>-5.0439006164768596E-3</v>
      </c>
      <c r="E77" s="4">
        <v>-7.269338303821038E-3</v>
      </c>
      <c r="I77" t="str">
        <v>https://www.insee.fr/fr/statistiques/serie/010764149</v>
      </c>
      <c r="J77" t="str">
        <v>010764149</v>
      </c>
      <c r="K77" t="str">
        <v>Autres produits chimiques</v>
      </c>
      <c r="L77" s="4">
        <v>-9.5602294455069403E-3</v>
      </c>
      <c r="M77" s="4">
        <v>4.8775998527517128E-2</v>
      </c>
    </row>
    <row r="78" spans="1:13">
      <c r="A78" s="34" t="s">
        <v>305</v>
      </c>
      <c r="B78" s="32" t="s">
        <v>343</v>
      </c>
      <c r="C78" t="s">
        <v>142</v>
      </c>
      <c r="D78" s="137">
        <v>-3.4916201117318413E-2</v>
      </c>
      <c r="E78" s="4">
        <v>-0.16897173782321095</v>
      </c>
      <c r="I78" t="str">
        <v>https://www.insee.fr/fr/statistiques/serie/010763871</v>
      </c>
      <c r="J78" t="str">
        <v>010763871</v>
      </c>
      <c r="K78" t="str">
        <v>Produits de voierie en béton</v>
      </c>
      <c r="L78" s="4">
        <v>-3.1928084314941318E-2</v>
      </c>
      <c r="M78" s="4">
        <v>-2.710280373831786E-2</v>
      </c>
    </row>
    <row r="79" spans="1:13">
      <c r="A79" s="34" t="s">
        <v>306</v>
      </c>
      <c r="B79" s="32" t="s">
        <v>344</v>
      </c>
      <c r="C79" t="s">
        <v>143</v>
      </c>
      <c r="D79" s="137">
        <v>-4.7865268134140937E-2</v>
      </c>
      <c r="E79" s="4">
        <v>-6.5129097766173594E-2</v>
      </c>
      <c r="I79" t="str">
        <v>https://www.insee.fr/fr/statistiques/serie/010764834</v>
      </c>
      <c r="J79" t="str">
        <v>010764834</v>
      </c>
      <c r="K79" t="str">
        <v>Câbles de fibres optiques</v>
      </c>
      <c r="L79" s="4">
        <v>-3.4916201117318413E-2</v>
      </c>
      <c r="M79" s="4">
        <v>-0.16897173782321095</v>
      </c>
    </row>
    <row r="80" spans="1:13">
      <c r="A80" s="34" t="s">
        <v>307</v>
      </c>
      <c r="B80" s="32" t="s">
        <v>345</v>
      </c>
      <c r="C80" t="s">
        <v>144</v>
      </c>
      <c r="D80" s="137">
        <v>3.1263292216078487E-2</v>
      </c>
      <c r="E80" s="4">
        <v>-7.1662571662570729E-3</v>
      </c>
      <c r="I80" t="str">
        <v>https://www.insee.fr/fr/statistiques/serie/010764136</v>
      </c>
      <c r="J80" t="str">
        <v>010764136</v>
      </c>
      <c r="K80" t="str">
        <v>Bitume</v>
      </c>
      <c r="L80" s="4">
        <v>-3.4975132360019368E-2</v>
      </c>
      <c r="M80" s="4">
        <v>-4.1390728476821126E-3</v>
      </c>
    </row>
    <row r="81" spans="1:42">
      <c r="A81" s="34" t="s">
        <v>308</v>
      </c>
      <c r="B81" s="32" t="s">
        <v>346</v>
      </c>
      <c r="C81" t="s">
        <v>145</v>
      </c>
      <c r="D81" s="137">
        <v>4.5031815956926069E-2</v>
      </c>
      <c r="E81" s="4">
        <v>-4.2386185243327934E-2</v>
      </c>
      <c r="I81" t="str">
        <v>https://www.insee.fr/fr/statistiques/serie/010763825</v>
      </c>
      <c r="J81" t="str">
        <v>010763825</v>
      </c>
      <c r="K81" t="str">
        <v>Peintures Industries</v>
      </c>
      <c r="L81" s="4">
        <v>-4.7865268134140937E-2</v>
      </c>
      <c r="M81" s="4">
        <v>-6.5129097766173594E-2</v>
      </c>
    </row>
    <row r="82" spans="1:42">
      <c r="A82" s="34" t="s">
        <v>309</v>
      </c>
      <c r="B82" s="32" t="s">
        <v>347</v>
      </c>
      <c r="C82" t="s">
        <v>148</v>
      </c>
      <c r="D82" s="137">
        <v>4.3948613928330715E-3</v>
      </c>
      <c r="E82" s="4">
        <v>2.7672085783466027E-2</v>
      </c>
      <c r="I82" t="str">
        <v>https://www.insee.fr/fr/statistiques/serie/010764297</v>
      </c>
      <c r="J82" t="str">
        <v>010764297</v>
      </c>
      <c r="K82" t="str">
        <v>Gaz naturel</v>
      </c>
      <c r="L82" s="4">
        <v>-8.182865923933913E-2</v>
      </c>
      <c r="M82" s="4">
        <v>0.35257498585172642</v>
      </c>
    </row>
    <row r="83" spans="1:42">
      <c r="A83" s="34" t="s">
        <v>310</v>
      </c>
      <c r="B83" s="32" t="s">
        <v>348</v>
      </c>
      <c r="C83" t="s">
        <v>149</v>
      </c>
      <c r="D83" s="137">
        <v>3.0523255813953654E-2</v>
      </c>
      <c r="E83" s="4">
        <v>3.730797366495997E-2</v>
      </c>
      <c r="I83" t="str">
        <v>https://www.insee.fr/fr/statistiques/serie/010764291</v>
      </c>
      <c r="J83" t="str">
        <v>010764291</v>
      </c>
      <c r="K83" t="str">
        <v>Électricité vendue aux entreprises consommatrices finales</v>
      </c>
      <c r="L83" s="4">
        <v>-9.5969033635878054E-2</v>
      </c>
      <c r="M83" s="4">
        <v>-0.22972819288070045</v>
      </c>
    </row>
    <row r="84" spans="1:42">
      <c r="A84" s="34"/>
      <c r="B84" s="32"/>
      <c r="D84" s="137"/>
      <c r="E84" s="4"/>
      <c r="L84" s="4"/>
      <c r="M84" s="4"/>
    </row>
    <row r="85" spans="1:42">
      <c r="A85" s="34"/>
      <c r="B85" s="32"/>
      <c r="D85" s="137"/>
      <c r="E85" s="4"/>
      <c r="L85" s="4"/>
      <c r="M85" s="4"/>
    </row>
    <row r="87" spans="1:42">
      <c r="C87" t="str">
        <f>'A MODIFIER'!A10</f>
        <v>*/2025</v>
      </c>
      <c r="D87" s="5">
        <f>('CUMULS INDICES'!B20/'CUMULS INDICES'!B36)-1</f>
        <v>1.5490258703289683E-2</v>
      </c>
      <c r="E87" s="5">
        <f>('CUMULS INDICES'!C20/'CUMULS INDICES'!C36)-1</f>
        <v>3.6595991867557354E-2</v>
      </c>
      <c r="F87" s="5">
        <f>('CUMULS INDICES'!D20/'CUMULS INDICES'!D36)-1</f>
        <v>2.1311232795619084E-2</v>
      </c>
      <c r="G87" s="5">
        <f>('CUMULS INDICES'!E20/'CUMULS INDICES'!E36)-1</f>
        <v>0.33730051393021365</v>
      </c>
      <c r="H87" s="5">
        <f>('CUMULS INDICES'!F20/'CUMULS INDICES'!F36)-1</f>
        <v>0.19374962748097646</v>
      </c>
      <c r="I87" s="5">
        <f>('CUMULS INDICES'!G20/'CUMULS INDICES'!G36)-1</f>
        <v>9.6153846153845812E-3</v>
      </c>
      <c r="J87" s="5">
        <f>('CUMULS INDICES'!H20/'CUMULS INDICES'!H36)-1</f>
        <v>2.2526146419951765E-2</v>
      </c>
      <c r="K87" s="5">
        <f>('CUMULS INDICES'!I20/'CUMULS INDICES'!I36)-1</f>
        <v>-9.5969033635878054E-2</v>
      </c>
      <c r="L87" s="5">
        <f>('CUMULS INDICES'!J20/'CUMULS INDICES'!J36)-1</f>
        <v>-8.182865923933913E-2</v>
      </c>
      <c r="M87" s="5">
        <f>('CUMULS INDICES'!K20/'CUMULS INDICES'!K36)-1</f>
        <v>0.35607335928372263</v>
      </c>
      <c r="N87" s="5">
        <f>('CUMULS INDICES'!L20/'CUMULS INDICES'!L36)-1</f>
        <v>4.6745562130177554E-2</v>
      </c>
      <c r="O87" s="5">
        <f>('CUMULS INDICES'!M20/'CUMULS INDICES'!M36)-1</f>
        <v>2.7468581687612348E-2</v>
      </c>
      <c r="P87" s="5">
        <f>('CUMULS INDICES'!N20/'CUMULS INDICES'!N36)-1</f>
        <v>3.0242859324881577E-2</v>
      </c>
      <c r="Q87" s="5">
        <f>('CUMULS INDICES'!O20/'CUMULS INDICES'!O36)-1</f>
        <v>1.0889292196007094E-2</v>
      </c>
      <c r="R87" s="5">
        <f>('CUMULS INDICES'!P20/'CUMULS INDICES'!P36)-1</f>
        <v>1.9557385486361101E-2</v>
      </c>
      <c r="S87" s="5">
        <f>('CUMULS INDICES'!Q20/'CUMULS INDICES'!Q36)-1</f>
        <v>1.3226527570789903E-2</v>
      </c>
      <c r="T87" s="5">
        <f>('CUMULS INDICES'!R20/'CUMULS INDICES'!R36)-1</f>
        <v>2.6470991633520624E-2</v>
      </c>
      <c r="U87" s="5">
        <f>('CUMULS INDICES'!S20/'CUMULS INDICES'!S36)-1</f>
        <v>-9.5602294455069403E-3</v>
      </c>
      <c r="V87" s="5">
        <f>('CUMULS INDICES'!T20/'CUMULS INDICES'!T36)-1</f>
        <v>-8.4911822338340492E-3</v>
      </c>
      <c r="W87" s="5">
        <f>('CUMULS INDICES'!U20/'CUMULS INDICES'!U36)-1</f>
        <v>-3.4975132360019368E-2</v>
      </c>
      <c r="X87" s="5">
        <f>('CUMULS INDICES'!V20/'CUMULS INDICES'!V36)-1</f>
        <v>-3.1928084314941318E-2</v>
      </c>
      <c r="Y87" s="5">
        <f>('CUMULS INDICES'!W20/'CUMULS INDICES'!W36)-1</f>
        <v>8.8803761100468837E-3</v>
      </c>
      <c r="Z87" s="5">
        <f>('CUMULS INDICES'!X20/'CUMULS INDICES'!X36)-1</f>
        <v>7.1284673795133369E-3</v>
      </c>
      <c r="AA87" s="5">
        <f>('CUMULS INDICES'!Y20/'CUMULS INDICES'!Y36)-1</f>
        <v>8.314220183486265E-3</v>
      </c>
      <c r="AB87" s="5">
        <f>('CUMULS INDICES'!Z20/'CUMULS INDICES'!Z36)-1</f>
        <v>1.552795031055898E-2</v>
      </c>
      <c r="AC87" s="5">
        <f>('CUMULS INDICES'!AA20/'CUMULS INDICES'!AA36)-1</f>
        <v>2.6507276507276467E-2</v>
      </c>
      <c r="AD87" s="5">
        <f>('CUMULS INDICES'!AB20/'CUMULS INDICES'!AB36)-1</f>
        <v>6.1597281223449318E-2</v>
      </c>
      <c r="AE87" s="5">
        <f>('CUMULS INDICES'!AC20/'CUMULS INDICES'!AC36)-1</f>
        <v>3.149736147757265E-2</v>
      </c>
      <c r="AF87" s="5">
        <f>('CUMULS INDICES'!AD20/'CUMULS INDICES'!AD36)-1</f>
        <v>-8.4331253162417408E-4</v>
      </c>
      <c r="AG87" s="5">
        <f>('CUMULS INDICES'!AE20/'CUMULS INDICES'!AE36)-1</f>
        <v>7.8446785096682792E-2</v>
      </c>
      <c r="AH87" s="5">
        <f>('CUMULS INDICES'!AF20/'CUMULS INDICES'!AF36)-1</f>
        <v>0.10969170499063186</v>
      </c>
      <c r="AI87" s="5">
        <f>('CUMULS INDICES'!AG20/'CUMULS INDICES'!AG36)-1</f>
        <v>0.17282700421940933</v>
      </c>
      <c r="AJ87" s="5">
        <f>('CUMULS INDICES'!AH20/'CUMULS INDICES'!AH36)-1</f>
        <v>-5.0439006164768596E-3</v>
      </c>
      <c r="AK87" s="5">
        <f>('CUMULS INDICES'!AI20/'CUMULS INDICES'!AI36)-1</f>
        <v>-3.4916201117318413E-2</v>
      </c>
      <c r="AL87" s="5">
        <f>('CUMULS INDICES'!AJ20/'CUMULS INDICES'!AJ36)-1</f>
        <v>-4.7865268134140937E-2</v>
      </c>
      <c r="AM87" s="5">
        <f>('CUMULS INDICES'!AK20/'CUMULS INDICES'!AK36)-1</f>
        <v>3.1263292216078487E-2</v>
      </c>
      <c r="AN87" s="5">
        <f>('CUMULS INDICES'!AL20/'CUMULS INDICES'!AL36)-1</f>
        <v>4.5031815956926069E-2</v>
      </c>
      <c r="AO87" s="5">
        <f>('CUMULS INDICES'!AM20/'CUMULS INDICES'!AM36)-1</f>
        <v>4.3948613928330715E-3</v>
      </c>
      <c r="AP87" s="5">
        <f>('CUMULS INDICES'!AN20/'CUMULS INDICES'!AN36)-1</f>
        <v>3.0523255813953654E-2</v>
      </c>
    </row>
    <row r="88" spans="1:42">
      <c r="C88" t="str">
        <f>'A MODIFIER'!A9</f>
        <v>*/2024</v>
      </c>
      <c r="D88" s="5">
        <f>('CUMULS INDICES'!B20/'CUMULS INDICES'!B52)-1</f>
        <v>2.1526104417670666E-2</v>
      </c>
      <c r="E88" s="5">
        <f>('CUMULS INDICES'!C20/'CUMULS INDICES'!C52)-1</f>
        <v>7.3222071868891625E-2</v>
      </c>
      <c r="F88" s="5">
        <f>('CUMULS INDICES'!D20/'CUMULS INDICES'!D52)-1</f>
        <v>4.7828727604008581E-2</v>
      </c>
      <c r="G88" s="5">
        <f>('CUMULS INDICES'!E20/'CUMULS INDICES'!E52)-1</f>
        <v>0.33965587318791468</v>
      </c>
      <c r="H88" s="5">
        <f>('CUMULS INDICES'!F20/'CUMULS INDICES'!F52)-1</f>
        <v>0.10588603401310426</v>
      </c>
      <c r="I88" s="5">
        <f>('CUMULS INDICES'!G20/'CUMULS INDICES'!G52)-1</f>
        <v>1.6992353440951513E-2</v>
      </c>
      <c r="J88" s="5">
        <f>('CUMULS INDICES'!H20/'CUMULS INDICES'!H52)-1</f>
        <v>2.6987718164188879E-2</v>
      </c>
      <c r="K88" s="5">
        <f>('CUMULS INDICES'!I20/'CUMULS INDICES'!I52)-1</f>
        <v>-0.22972819288070045</v>
      </c>
      <c r="L88" s="5">
        <f>('CUMULS INDICES'!J20/'CUMULS INDICES'!J52)-1</f>
        <v>0.35257498585172642</v>
      </c>
      <c r="M88" s="5">
        <f>('CUMULS INDICES'!K20/'CUMULS INDICES'!K52)-1</f>
        <v>0.17981630043018293</v>
      </c>
      <c r="N88" s="5">
        <f>('CUMULS INDICES'!L20/'CUMULS INDICES'!L52)-1</f>
        <v>-3.7671877943101784E-4</v>
      </c>
      <c r="O88" s="5">
        <f>('CUMULS INDICES'!M20/'CUMULS INDICES'!M52)-1</f>
        <v>6.7524715538145985E-2</v>
      </c>
      <c r="P88" s="5">
        <f>('CUMULS INDICES'!N20/'CUMULS INDICES'!N52)-1</f>
        <v>4.1377180793577217E-2</v>
      </c>
      <c r="Q88" s="5">
        <f>('CUMULS INDICES'!O20/'CUMULS INDICES'!O52)-1</f>
        <v>-1.0657193605683735E-2</v>
      </c>
      <c r="R88" s="5">
        <f>('CUMULS INDICES'!P20/'CUMULS INDICES'!P52)-1</f>
        <v>1.2608621570965761E-2</v>
      </c>
      <c r="S88" s="5">
        <f>('CUMULS INDICES'!Q20/'CUMULS INDICES'!Q52)-1</f>
        <v>1.7776946107784575E-2</v>
      </c>
      <c r="T88" s="5">
        <f>('CUMULS INDICES'!R20/'CUMULS INDICES'!R52)-1</f>
        <v>3.7427224840587803E-2</v>
      </c>
      <c r="U88" s="5">
        <f>('CUMULS INDICES'!S20/'CUMULS INDICES'!S52)-1</f>
        <v>4.8775998527517128E-2</v>
      </c>
      <c r="V88" s="5">
        <f>('CUMULS INDICES'!T20/'CUMULS INDICES'!T52)-1</f>
        <v>-2.7546444586803331E-2</v>
      </c>
      <c r="W88" s="5">
        <f>('CUMULS INDICES'!U20/'CUMULS INDICES'!U52)-1</f>
        <v>-4.1390728476821126E-3</v>
      </c>
      <c r="X88" s="5">
        <f>('CUMULS INDICES'!V20/'CUMULS INDICES'!V52)-1</f>
        <v>-2.710280373831786E-2</v>
      </c>
      <c r="Y88" s="5">
        <f>('CUMULS INDICES'!W20/'CUMULS INDICES'!W52)-1</f>
        <v>3.4530386740350139E-4</v>
      </c>
      <c r="Z88" s="5">
        <f>('CUMULS INDICES'!X20/'CUMULS INDICES'!X52)-1</f>
        <v>1.4517639712769537E-2</v>
      </c>
      <c r="AA88" s="5">
        <f>('CUMULS INDICES'!Y20/'CUMULS INDICES'!Y52)-1</f>
        <v>1.6033511483460661E-2</v>
      </c>
      <c r="AB88" s="5">
        <f>('CUMULS INDICES'!Z20/'CUMULS INDICES'!Z52)-1</f>
        <v>1.3639181649101051E-2</v>
      </c>
      <c r="AC88" s="5">
        <f>('CUMULS INDICES'!AA20/'CUMULS INDICES'!AA52)-1</f>
        <v>4.8858204992034082E-2</v>
      </c>
      <c r="AD88" s="5">
        <f>('CUMULS INDICES'!AB20/'CUMULS INDICES'!AB52)-1</f>
        <v>4.3859649122806932E-2</v>
      </c>
      <c r="AE88" s="5">
        <f>('CUMULS INDICES'!AC20/'CUMULS INDICES'!AC52)-1</f>
        <v>1.6012810248198228E-3</v>
      </c>
      <c r="AF88" s="5">
        <f>('CUMULS INDICES'!AD20/'CUMULS INDICES'!AD52)-1</f>
        <v>-3.0600556373752363E-2</v>
      </c>
      <c r="AG88" s="5">
        <f>('CUMULS INDICES'!AE20/'CUMULS INDICES'!AE52)-1</f>
        <v>0.14048212801330018</v>
      </c>
      <c r="AH88" s="5">
        <f>('CUMULS INDICES'!AF20/'CUMULS INDICES'!AF52)-1</f>
        <v>0.11711248285322351</v>
      </c>
      <c r="AI88" s="5">
        <f>('CUMULS INDICES'!AG20/'CUMULS INDICES'!AG52)-1</f>
        <v>0.16829186281102904</v>
      </c>
      <c r="AJ88" s="5">
        <f>('CUMULS INDICES'!AH20/'CUMULS INDICES'!AH52)-1</f>
        <v>-7.269338303821038E-3</v>
      </c>
      <c r="AK88" s="5">
        <f>('CUMULS INDICES'!AI20/'CUMULS INDICES'!AI52)-1</f>
        <v>-0.16897173782321095</v>
      </c>
      <c r="AL88" s="5">
        <f>('CUMULS INDICES'!AJ20/'CUMULS INDICES'!AJ52)-1</f>
        <v>-6.5129097766173594E-2</v>
      </c>
      <c r="AM88" s="5">
        <f>('CUMULS INDICES'!AK20/'CUMULS INDICES'!AK52)-1</f>
        <v>-7.1662571662570729E-3</v>
      </c>
      <c r="AN88" s="5">
        <f>('CUMULS INDICES'!AL20/'CUMULS INDICES'!AL52)-1</f>
        <v>-4.2386185243327934E-2</v>
      </c>
      <c r="AO88" s="5">
        <f>('CUMULS INDICES'!AM20/'CUMULS INDICES'!AM52)-1</f>
        <v>2.7672085783466027E-2</v>
      </c>
      <c r="AP88" s="5">
        <f>('CUMULS INDICES'!AN20/'CUMULS INDICES'!AN52)-1</f>
        <v>3.730797366495997E-2</v>
      </c>
    </row>
  </sheetData>
  <sheetProtection algorithmName="SHA-512" hashValue="k7DtMFks5xHZkOJupn+bEeaaAQ9SDxCJSB5VBxoblJiCXlOwQSsnIUHho4R3KkEN4ckmr/x5cH/O/DAx67I9GA==" saltValue="8DhxTXUmuJPwHmefyCVTDA==" spinCount="100000" sheet="1" insertColumns="0" insertRows="0" insertHyperlinks="0" deleteColumns="0" deleteRows="0" sort="0" autoFilter="0"/>
  <mergeCells count="6">
    <mergeCell ref="B39:M39"/>
    <mergeCell ref="B1:M1"/>
    <mergeCell ref="B5:E5"/>
    <mergeCell ref="J5:M5"/>
    <mergeCell ref="B43:E43"/>
    <mergeCell ref="J43:M43"/>
  </mergeCells>
  <hyperlinks>
    <hyperlink ref="A69" r:id="rId1" xr:uid="{5F0A11DB-14E6-423D-A387-294614DC1160}"/>
    <hyperlink ref="A73" r:id="rId2" xr:uid="{F8229CB8-F87C-41B7-8D0A-846DEF358BA8}"/>
    <hyperlink ref="A21" r:id="rId3" xr:uid="{E80B453F-0730-46A8-99FD-F236E99C77A6}"/>
    <hyperlink ref="A26" r:id="rId4" display="https://www.insee.fr/fr/statistiques/serie/001711002" xr:uid="{B7F09690-4ABF-4FEE-9ED7-290AD501E19D}"/>
    <hyperlink ref="A25" r:id="rId5" xr:uid="{88F6D393-7741-4D9E-8623-1C81D4AC37DC}"/>
    <hyperlink ref="A29" r:id="rId6" xr:uid="{DD8B5AF3-10C2-4BBB-A82A-361022466AFC}"/>
    <hyperlink ref="A23" r:id="rId7" xr:uid="{46C50875-68C3-4B87-B221-954CA62FA85D}"/>
    <hyperlink ref="A49" r:id="rId8" xr:uid="{469FD07E-63F2-4F63-8971-276C49F6C1C5}"/>
  </hyperlinks>
  <pageMargins left="0.7" right="0.7" top="0.75" bottom="0.75" header="0.3" footer="0.3"/>
  <pageSetup paperSize="9" orientation="portrait" r:id="rId9"/>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9CA3C-E9ED-4873-BE5A-A12EE899B4CC}">
  <sheetPr codeName="Feuil8">
    <tabColor rgb="FF92D050"/>
  </sheetPr>
  <dimension ref="A1:AP89"/>
  <sheetViews>
    <sheetView topLeftCell="A58" workbookViewId="0">
      <selection activeCell="C53" sqref="C53"/>
    </sheetView>
  </sheetViews>
  <sheetFormatPr baseColWidth="10" defaultRowHeight="15"/>
  <cols>
    <col min="1" max="1" width="63.7109375" style="3" customWidth="1"/>
    <col min="3" max="3" width="74.85546875" bestFit="1" customWidth="1"/>
    <col min="5" max="8" width="11.5703125" customWidth="1"/>
    <col min="10" max="13" width="11.5703125" customWidth="1"/>
  </cols>
  <sheetData>
    <row r="1" spans="1:25" ht="18.75">
      <c r="B1" s="240" t="s">
        <v>183</v>
      </c>
      <c r="C1" s="240"/>
      <c r="D1" s="240"/>
      <c r="E1" s="240"/>
      <c r="F1" s="240"/>
      <c r="G1" s="240"/>
      <c r="H1" s="240"/>
      <c r="I1" s="240"/>
      <c r="J1" s="240"/>
      <c r="K1" s="240"/>
      <c r="L1" s="240"/>
      <c r="M1" s="240"/>
    </row>
    <row r="2" spans="1:25">
      <c r="E2" s="22"/>
      <c r="F2" s="22"/>
      <c r="G2" s="22"/>
      <c r="H2" s="22"/>
      <c r="J2" s="3" t="str" cm="1">
        <f t="array" ref="J2:J3">'A MODIFIER'!A7:A8</f>
        <v>*3 mois = Cumul mars 2026-mai 2026 / Cumul déc 2025-févr 2026</v>
      </c>
    </row>
    <row r="3" spans="1:25">
      <c r="A3" s="115"/>
      <c r="E3" s="22"/>
      <c r="F3" s="22"/>
      <c r="G3" s="22"/>
      <c r="H3" s="22"/>
      <c r="J3" s="3" t="str">
        <v>*6 mois = Cumul déc 2025-mai 2026 / Cumul juin 2025-nov 2025</v>
      </c>
    </row>
    <row r="4" spans="1:25">
      <c r="C4" s="20"/>
      <c r="H4" s="20"/>
      <c r="M4" s="20"/>
      <c r="N4" s="20"/>
      <c r="O4" s="20"/>
      <c r="P4" s="20"/>
      <c r="Q4" s="20"/>
      <c r="R4" s="20"/>
      <c r="S4" s="20"/>
      <c r="T4" s="20"/>
      <c r="U4" s="20"/>
      <c r="V4" s="20"/>
      <c r="W4" s="20"/>
      <c r="X4" s="20"/>
      <c r="Y4" s="20"/>
    </row>
    <row r="5" spans="1:25">
      <c r="J5" s="20"/>
      <c r="K5" s="20"/>
      <c r="L5" s="20"/>
    </row>
    <row r="6" spans="1:25">
      <c r="B6" s="101"/>
      <c r="C6" s="101"/>
      <c r="D6" s="101"/>
      <c r="E6" s="101"/>
      <c r="F6" s="101"/>
      <c r="G6" s="101"/>
      <c r="H6" s="101"/>
      <c r="I6" s="101"/>
      <c r="J6" s="101"/>
      <c r="K6" s="101"/>
      <c r="L6" s="101"/>
      <c r="M6" s="101"/>
    </row>
    <row r="7" spans="1:25" ht="18.75">
      <c r="B7" s="242" t="s">
        <v>186</v>
      </c>
      <c r="C7" s="240"/>
      <c r="D7" s="240"/>
      <c r="E7" s="240"/>
      <c r="J7" s="242" t="s">
        <v>185</v>
      </c>
      <c r="K7" s="242"/>
      <c r="L7" s="242"/>
      <c r="M7" s="242"/>
    </row>
    <row r="8" spans="1:25">
      <c r="D8" t="s">
        <v>39</v>
      </c>
      <c r="E8" t="s">
        <v>40</v>
      </c>
      <c r="L8" s="21" t="s">
        <v>39</v>
      </c>
      <c r="M8" s="21" t="s">
        <v>40</v>
      </c>
    </row>
    <row r="9" spans="1:25">
      <c r="A9" s="116" t="s">
        <v>203</v>
      </c>
      <c r="B9" t="s">
        <v>19</v>
      </c>
      <c r="C9" t="s">
        <v>0</v>
      </c>
      <c r="D9" s="5" cm="1">
        <f t="array" ref="D9:D32">TRANSPOSE(D36:AA36)</f>
        <v>6.0421426758060504E-2</v>
      </c>
      <c r="E9" s="5" cm="1">
        <f t="array" ref="E9:E32">TRANSPOSE(D37:AA37)</f>
        <v>3.4017072238502033E-2</v>
      </c>
      <c r="J9" t="str" cm="1">
        <f t="array" ref="J9:M32">_xlfn._xlws.SORT(B9:E32,3,-1,FALSE)</f>
        <v>TP09</v>
      </c>
      <c r="K9" t="str">
        <v>Fabrication et mise en œuvre d’enrobés </v>
      </c>
      <c r="L9">
        <v>0.14708321813657732</v>
      </c>
      <c r="M9">
        <v>4.7760388559093148E-2</v>
      </c>
    </row>
    <row r="10" spans="1:25">
      <c r="A10" s="116" t="s">
        <v>204</v>
      </c>
      <c r="B10" t="s">
        <v>20</v>
      </c>
      <c r="C10" t="s">
        <v>1</v>
      </c>
      <c r="D10" s="5">
        <v>2.3108732668450482E-2</v>
      </c>
      <c r="E10" s="5">
        <v>2.237246465888143E-2</v>
      </c>
      <c r="J10" t="str">
        <v>TP06a</v>
      </c>
      <c r="K10" t="str">
        <v>Grands dragages maritimes </v>
      </c>
      <c r="L10">
        <v>0.13373639661426839</v>
      </c>
      <c r="M10">
        <v>7.2444390421781746E-2</v>
      </c>
    </row>
    <row r="11" spans="1:25">
      <c r="A11" s="116" t="s">
        <v>205</v>
      </c>
      <c r="B11" t="s">
        <v>21</v>
      </c>
      <c r="C11" t="s">
        <v>2</v>
      </c>
      <c r="D11" s="5">
        <v>6.2391681109185582E-2</v>
      </c>
      <c r="E11" s="5">
        <v>4.0989752561859438E-2</v>
      </c>
      <c r="J11" t="str">
        <v>TP10c</v>
      </c>
      <c r="K11" t="str">
        <v>Réhabilitation de canalisations non visitables</v>
      </c>
      <c r="L11">
        <v>0.10069713400464764</v>
      </c>
      <c r="M11">
        <v>4.214166773408512E-2</v>
      </c>
    </row>
    <row r="12" spans="1:25">
      <c r="A12" s="33" t="s">
        <v>254</v>
      </c>
      <c r="B12" t="s">
        <v>22</v>
      </c>
      <c r="C12" t="s">
        <v>3</v>
      </c>
      <c r="D12" s="5">
        <v>4.921700223713632E-2</v>
      </c>
      <c r="E12" s="5">
        <v>3.8107380648817246E-2</v>
      </c>
      <c r="J12" t="str">
        <v>TP06b</v>
      </c>
      <c r="K12" t="str">
        <v>Dragages fluviaux et petits dragages maritimes</v>
      </c>
      <c r="L12">
        <v>8.757841907151831E-2</v>
      </c>
      <c r="M12">
        <v>5.3171287504747422E-2</v>
      </c>
    </row>
    <row r="13" spans="1:25">
      <c r="A13" s="116" t="s">
        <v>206</v>
      </c>
      <c r="B13" t="s">
        <v>23</v>
      </c>
      <c r="C13" t="s">
        <v>4</v>
      </c>
      <c r="D13" s="5">
        <v>3.789578658688586E-2</v>
      </c>
      <c r="E13" s="5">
        <v>3.0249558860599768E-2</v>
      </c>
      <c r="J13" t="str">
        <v>TP08</v>
      </c>
      <c r="K13" t="str">
        <v>Travaux d’aménagement et entretien de voirie en zones rurale et urbaine</v>
      </c>
      <c r="L13">
        <v>8.0083203328133123E-2</v>
      </c>
      <c r="M13">
        <v>3.667228197486061E-2</v>
      </c>
    </row>
    <row r="14" spans="1:25">
      <c r="A14" s="116" t="s">
        <v>207</v>
      </c>
      <c r="B14" t="s">
        <v>24</v>
      </c>
      <c r="C14" t="s">
        <v>5</v>
      </c>
      <c r="D14" s="5">
        <v>2.252141982864142E-2</v>
      </c>
      <c r="E14" s="5">
        <v>2.2904543766250063E-2</v>
      </c>
      <c r="J14" t="str">
        <v>TP03a</v>
      </c>
      <c r="K14" t="str">
        <v>Grands terrassements</v>
      </c>
      <c r="L14">
        <v>6.2391681109185582E-2</v>
      </c>
      <c r="M14">
        <v>4.0989752561859438E-2</v>
      </c>
    </row>
    <row r="15" spans="1:25">
      <c r="A15" s="116" t="s">
        <v>208</v>
      </c>
      <c r="B15" t="s">
        <v>25</v>
      </c>
      <c r="C15" t="s">
        <v>6</v>
      </c>
      <c r="D15" s="5">
        <v>1.6990291262136026E-2</v>
      </c>
      <c r="E15" s="5">
        <v>2.3903400689995191E-2</v>
      </c>
      <c r="J15" t="str">
        <v>TP01</v>
      </c>
      <c r="K15" t="str">
        <v>Index général tous travaux</v>
      </c>
      <c r="L15">
        <v>6.0421426758060504E-2</v>
      </c>
      <c r="M15">
        <v>3.4017072238502033E-2</v>
      </c>
    </row>
    <row r="16" spans="1:25">
      <c r="A16" s="116" t="s">
        <v>209</v>
      </c>
      <c r="B16" t="s">
        <v>26</v>
      </c>
      <c r="C16" t="s">
        <v>7</v>
      </c>
      <c r="D16" s="5">
        <v>0.13373639661426839</v>
      </c>
      <c r="E16" s="5">
        <v>7.2444390421781746E-2</v>
      </c>
      <c r="J16" t="str">
        <v>TP03b</v>
      </c>
      <c r="K16" t="str">
        <v>Travaux à l’explosif</v>
      </c>
      <c r="L16">
        <v>4.921700223713632E-2</v>
      </c>
      <c r="M16">
        <v>3.8107380648817246E-2</v>
      </c>
    </row>
    <row r="17" spans="1:13">
      <c r="A17" s="116" t="s">
        <v>210</v>
      </c>
      <c r="B17" t="s">
        <v>27</v>
      </c>
      <c r="C17" t="s">
        <v>8</v>
      </c>
      <c r="D17" s="5">
        <v>8.757841907151831E-2</v>
      </c>
      <c r="E17" s="5">
        <v>5.3171287504747422E-2</v>
      </c>
      <c r="J17" t="str">
        <v>TP07b</v>
      </c>
      <c r="K17" t="str">
        <v>Travaux de génie civil, béton et acier pour ouvrages maritimes et fluviaux</v>
      </c>
      <c r="L17">
        <v>4.8166259168704206E-2</v>
      </c>
      <c r="M17">
        <v>3.56039065397451E-2</v>
      </c>
    </row>
    <row r="18" spans="1:13">
      <c r="A18" s="116" t="s">
        <v>211</v>
      </c>
      <c r="B18" t="s">
        <v>28</v>
      </c>
      <c r="C18" t="s">
        <v>275</v>
      </c>
      <c r="D18" s="5">
        <v>4.8166259168704206E-2</v>
      </c>
      <c r="E18" s="5">
        <v>3.56039065397451E-2</v>
      </c>
      <c r="J18" t="str">
        <v>TP10f</v>
      </c>
      <c r="K18" t="str">
        <v>Canalisations, assainnissement et adduction d'eau avec fourniture de tuyaux avec fourniture de tuyaux multi-matériaux</v>
      </c>
      <c r="L18">
        <v>4.1899441340781829E-2</v>
      </c>
      <c r="M18">
        <v>2.5637755102041027E-2</v>
      </c>
    </row>
    <row r="19" spans="1:13">
      <c r="A19" s="116" t="s">
        <v>212</v>
      </c>
      <c r="B19" t="s">
        <v>29</v>
      </c>
      <c r="C19" t="s">
        <v>350</v>
      </c>
      <c r="D19" s="5">
        <v>8.0083203328133123E-2</v>
      </c>
      <c r="E19" s="5">
        <v>3.667228197486061E-2</v>
      </c>
      <c r="J19" t="str">
        <v>TP12a</v>
      </c>
      <c r="K19" t="str">
        <v>Réseaux d'énergie et de communication</v>
      </c>
      <c r="L19">
        <v>4.1146216017633908E-2</v>
      </c>
      <c r="M19">
        <v>4.1229385307346433E-2</v>
      </c>
    </row>
    <row r="20" spans="1:13">
      <c r="A20" s="116" t="s">
        <v>213</v>
      </c>
      <c r="B20" t="s">
        <v>30</v>
      </c>
      <c r="C20" t="s">
        <v>9</v>
      </c>
      <c r="D20" s="5">
        <v>0.14708321813657732</v>
      </c>
      <c r="E20" s="5">
        <v>4.7760388559093148E-2</v>
      </c>
      <c r="J20" t="str">
        <v>TP10d</v>
      </c>
      <c r="K20" t="str">
        <v>Réseaux de chauffage et de froid avec fourniture de tuyaux</v>
      </c>
      <c r="L20">
        <v>3.905013192612139E-2</v>
      </c>
      <c r="M20">
        <v>2.3305084745762761E-2</v>
      </c>
    </row>
    <row r="21" spans="1:13">
      <c r="A21" s="116" t="s">
        <v>214</v>
      </c>
      <c r="B21" t="s">
        <v>31</v>
      </c>
      <c r="C21" t="s">
        <v>10</v>
      </c>
      <c r="D21" s="5">
        <v>2.7322404371584508E-2</v>
      </c>
      <c r="E21" s="5">
        <v>2.3448275862069101E-2</v>
      </c>
      <c r="J21" t="str">
        <v>TP04</v>
      </c>
      <c r="K21" t="str">
        <v xml:space="preserve">Fondations et travaux géotechniques </v>
      </c>
      <c r="L21">
        <v>3.789578658688586E-2</v>
      </c>
      <c r="M21">
        <v>3.0249558860599768E-2</v>
      </c>
    </row>
    <row r="22" spans="1:13">
      <c r="A22" s="116" t="s">
        <v>215</v>
      </c>
      <c r="B22" t="s">
        <v>32</v>
      </c>
      <c r="C22" t="s">
        <v>11</v>
      </c>
      <c r="D22" s="5">
        <v>0.10069713400464764</v>
      </c>
      <c r="E22" s="5">
        <v>4.214166773408512E-2</v>
      </c>
      <c r="J22" t="str">
        <v>TP12b</v>
      </c>
      <c r="K22" t="str">
        <v>Éclairage public -Travaux d'installation</v>
      </c>
      <c r="L22">
        <v>3.7392884964944084E-2</v>
      </c>
      <c r="M22">
        <v>1.9623131903833801E-2</v>
      </c>
    </row>
    <row r="23" spans="1:13">
      <c r="A23" s="177" t="s">
        <v>216</v>
      </c>
      <c r="B23" t="s">
        <v>33</v>
      </c>
      <c r="C23" t="s">
        <v>12</v>
      </c>
      <c r="D23" s="5">
        <v>3.905013192612139E-2</v>
      </c>
      <c r="E23" s="5">
        <v>2.3305084745762761E-2</v>
      </c>
      <c r="J23" t="str">
        <v>TP11</v>
      </c>
      <c r="K23" t="str">
        <v>Canalisations grandes distances de transport / transfert  avec fourniture de tuyaux</v>
      </c>
      <c r="L23">
        <v>3.6377512083439312E-2</v>
      </c>
      <c r="M23">
        <v>1.6507936507936583E-2</v>
      </c>
    </row>
    <row r="24" spans="1:13">
      <c r="A24" s="177" t="s">
        <v>314</v>
      </c>
      <c r="B24" t="s">
        <v>269</v>
      </c>
      <c r="C24" t="s">
        <v>276</v>
      </c>
      <c r="D24" s="5">
        <v>3.3615601744931833E-2</v>
      </c>
      <c r="E24" s="5">
        <v>1.9554869419786458E-2</v>
      </c>
      <c r="J24" t="str">
        <v>TP10e</v>
      </c>
      <c r="K24" t="str">
        <v>Canalisations, assainnissement et adduction d'eau avec fourniture de tuyaux en fonte majoritaire</v>
      </c>
      <c r="L24">
        <v>3.3615601744931833E-2</v>
      </c>
      <c r="M24">
        <v>1.9554869419786458E-2</v>
      </c>
    </row>
    <row r="25" spans="1:13">
      <c r="A25" s="37" t="s">
        <v>311</v>
      </c>
      <c r="B25" t="s">
        <v>270</v>
      </c>
      <c r="C25" t="s">
        <v>277</v>
      </c>
      <c r="D25" s="5">
        <v>4.1899441340781829E-2</v>
      </c>
      <c r="E25" s="5">
        <v>2.5637755102041027E-2</v>
      </c>
      <c r="J25" t="str">
        <v>TP10b</v>
      </c>
      <c r="K25" t="str">
        <v>Canalisations sans fourniture de tuyaux</v>
      </c>
      <c r="L25">
        <v>2.7322404371584508E-2</v>
      </c>
      <c r="M25">
        <v>2.3448275862069101E-2</v>
      </c>
    </row>
    <row r="26" spans="1:13">
      <c r="A26" t="s">
        <v>217</v>
      </c>
      <c r="B26" t="s">
        <v>34</v>
      </c>
      <c r="C26" t="s">
        <v>13</v>
      </c>
      <c r="D26" s="5">
        <v>3.6377512083439312E-2</v>
      </c>
      <c r="E26" s="5">
        <v>1.6507936507936583E-2</v>
      </c>
      <c r="J26" t="str">
        <v>TP13a</v>
      </c>
      <c r="K26" t="str">
        <v>Charpentes et ouvrages d'art métalliques</v>
      </c>
      <c r="L26">
        <v>2.5095227425498745E-2</v>
      </c>
      <c r="M26">
        <v>5.2274496718942576E-3</v>
      </c>
    </row>
    <row r="27" spans="1:13">
      <c r="A27" s="193" t="s">
        <v>218</v>
      </c>
      <c r="B27" t="s">
        <v>35</v>
      </c>
      <c r="C27" t="s">
        <v>14</v>
      </c>
      <c r="D27" s="5">
        <v>4.1146216017633908E-2</v>
      </c>
      <c r="E27" s="5">
        <v>4.1229385307346433E-2</v>
      </c>
      <c r="J27" t="str">
        <v>TP12c</v>
      </c>
      <c r="K27" t="str">
        <v>Éclairage public - Travaux  de maintenance</v>
      </c>
      <c r="L27">
        <v>2.3202447730749753E-2</v>
      </c>
      <c r="M27">
        <v>1.8482864844050706E-2</v>
      </c>
    </row>
    <row r="28" spans="1:13">
      <c r="A28" s="189" t="s">
        <v>219</v>
      </c>
      <c r="B28" t="s">
        <v>36</v>
      </c>
      <c r="C28" t="s">
        <v>15</v>
      </c>
      <c r="D28" s="5">
        <v>3.7392884964944084E-2</v>
      </c>
      <c r="E28" s="5">
        <v>1.9623131903833801E-2</v>
      </c>
      <c r="J28" t="str">
        <v>TP02</v>
      </c>
      <c r="K28" t="str">
        <v>Travaux de génie civil et d’ouvrages d’art neufs ou rénovation</v>
      </c>
      <c r="L28">
        <v>2.3108732668450482E-2</v>
      </c>
      <c r="M28">
        <v>2.237246465888143E-2</v>
      </c>
    </row>
    <row r="29" spans="1:13">
      <c r="A29" s="189" t="s">
        <v>220</v>
      </c>
      <c r="B29" t="s">
        <v>37</v>
      </c>
      <c r="C29" t="s">
        <v>16</v>
      </c>
      <c r="D29" s="5">
        <v>2.3202447730749753E-2</v>
      </c>
      <c r="E29" s="5">
        <v>1.8482864844050706E-2</v>
      </c>
      <c r="J29" t="str">
        <v>TP12d</v>
      </c>
      <c r="K29" t="str">
        <v>Réseaux de communication en fibre optique</v>
      </c>
      <c r="L29">
        <v>2.3078940466823905E-2</v>
      </c>
      <c r="M29">
        <v>2.7848101265822711E-2</v>
      </c>
    </row>
    <row r="30" spans="1:13">
      <c r="A30" s="189" t="s">
        <v>221</v>
      </c>
      <c r="B30" t="s">
        <v>38</v>
      </c>
      <c r="C30" t="s">
        <v>17</v>
      </c>
      <c r="D30" s="5">
        <v>2.3078940466823905E-2</v>
      </c>
      <c r="E30" s="5">
        <v>2.7848101265822711E-2</v>
      </c>
      <c r="J30" t="str">
        <v>TP05a</v>
      </c>
      <c r="K30" t="str">
        <v xml:space="preserve">Travaux en souterrains traditionnels </v>
      </c>
      <c r="L30">
        <v>2.252141982864142E-2</v>
      </c>
      <c r="M30">
        <v>2.2904543766250063E-2</v>
      </c>
    </row>
    <row r="31" spans="1:13">
      <c r="A31" s="189" t="s">
        <v>312</v>
      </c>
      <c r="B31" t="s">
        <v>271</v>
      </c>
      <c r="C31" t="s">
        <v>278</v>
      </c>
      <c r="D31" s="5">
        <v>2.5095227425498745E-2</v>
      </c>
      <c r="E31" s="5">
        <v>5.2274496718942576E-3</v>
      </c>
      <c r="J31" t="str">
        <v>TP05b</v>
      </c>
      <c r="K31" t="str">
        <v xml:space="preserve">Travaux en souterrains avec tunnelier </v>
      </c>
      <c r="L31">
        <v>1.6990291262136026E-2</v>
      </c>
      <c r="M31">
        <v>2.3903400689995191E-2</v>
      </c>
    </row>
    <row r="32" spans="1:13">
      <c r="A32" s="193" t="s">
        <v>313</v>
      </c>
      <c r="B32" t="s">
        <v>272</v>
      </c>
      <c r="C32" t="s">
        <v>315</v>
      </c>
      <c r="D32" s="5">
        <v>1.1491501077328214E-2</v>
      </c>
      <c r="E32" s="5">
        <v>3.0161844041196595E-2</v>
      </c>
      <c r="J32" t="str">
        <v>TP13b</v>
      </c>
      <c r="K32" t="str">
        <v>Charpentes et ouvrages d'art métalliques sans fourniture des aciers</v>
      </c>
      <c r="L32">
        <v>1.1491501077328214E-2</v>
      </c>
      <c r="M32">
        <v>3.0161844041196595E-2</v>
      </c>
    </row>
    <row r="33" spans="1:27">
      <c r="D33" s="179"/>
      <c r="E33" s="179"/>
    </row>
    <row r="34" spans="1:27">
      <c r="D34" s="179"/>
      <c r="E34" s="179"/>
    </row>
    <row r="35" spans="1:27">
      <c r="D35" s="4"/>
      <c r="E35" s="4"/>
    </row>
    <row r="36" spans="1:27">
      <c r="C36" t="s">
        <v>41</v>
      </c>
      <c r="D36" s="4">
        <f>('CUMULS INDEX'!B62/'CUMULS INDEX'!B63)-1</f>
        <v>6.0421426758060504E-2</v>
      </c>
      <c r="E36" s="4">
        <f>('CUMULS INDEX'!C62/'CUMULS INDEX'!C63)-1</f>
        <v>2.3108732668450482E-2</v>
      </c>
      <c r="F36" s="4">
        <f>('CUMULS INDEX'!D62/'CUMULS INDEX'!D63)-1</f>
        <v>6.2391681109185582E-2</v>
      </c>
      <c r="G36" s="4">
        <f>('CUMULS INDEX'!E62/'CUMULS INDEX'!E63)-1</f>
        <v>4.921700223713632E-2</v>
      </c>
      <c r="H36" s="4">
        <f>('CUMULS INDEX'!F62/'CUMULS INDEX'!F63)-1</f>
        <v>3.789578658688586E-2</v>
      </c>
      <c r="I36" s="4">
        <f>('CUMULS INDEX'!G62/'CUMULS INDEX'!G63)-1</f>
        <v>2.252141982864142E-2</v>
      </c>
      <c r="J36" s="4">
        <f>('CUMULS INDEX'!H62/'CUMULS INDEX'!H63)-1</f>
        <v>1.6990291262136026E-2</v>
      </c>
      <c r="K36" s="4">
        <f>('CUMULS INDEX'!I62/'CUMULS INDEX'!I63)-1</f>
        <v>0.13373639661426839</v>
      </c>
      <c r="L36" s="4">
        <f>('CUMULS INDEX'!J62/'CUMULS INDEX'!J63)-1</f>
        <v>8.757841907151831E-2</v>
      </c>
      <c r="M36" s="4">
        <f>('CUMULS INDEX'!K62/'CUMULS INDEX'!K63)-1</f>
        <v>4.8166259168704206E-2</v>
      </c>
      <c r="N36" s="4">
        <f>('CUMULS INDEX'!L62/'CUMULS INDEX'!L63)-1</f>
        <v>8.0083203328133123E-2</v>
      </c>
      <c r="O36" s="4">
        <f>('CUMULS INDEX'!M62/'CUMULS INDEX'!M63)-1</f>
        <v>0.14708321813657732</v>
      </c>
      <c r="P36" s="4">
        <f>('CUMULS INDEX'!N62/'CUMULS INDEX'!N63)-1</f>
        <v>2.7322404371584508E-2</v>
      </c>
      <c r="Q36" s="4">
        <f>('CUMULS INDEX'!O62/'CUMULS INDEX'!O63)-1</f>
        <v>0.10069713400464764</v>
      </c>
      <c r="R36" s="4">
        <f>('CUMULS INDEX'!P62/'CUMULS INDEX'!P63)-1</f>
        <v>3.905013192612139E-2</v>
      </c>
      <c r="S36" s="4">
        <f>('CUMULS INDEX'!Q62/'CUMULS INDEX'!Q63)-1</f>
        <v>3.3615601744931833E-2</v>
      </c>
      <c r="T36" s="4">
        <f>('CUMULS INDEX'!R62/'CUMULS INDEX'!R63)-1</f>
        <v>4.1899441340781829E-2</v>
      </c>
      <c r="U36" s="4">
        <f>('CUMULS INDEX'!S62/'CUMULS INDEX'!S63)-1</f>
        <v>3.6377512083439312E-2</v>
      </c>
      <c r="V36" s="4">
        <f>('CUMULS INDEX'!T62/'CUMULS INDEX'!T63)-1</f>
        <v>4.1146216017633908E-2</v>
      </c>
      <c r="W36" s="4">
        <f>('CUMULS INDEX'!U62/'CUMULS INDEX'!U63)-1</f>
        <v>3.7392884964944084E-2</v>
      </c>
      <c r="X36" s="4">
        <f>('CUMULS INDEX'!V62/'CUMULS INDEX'!V63)-1</f>
        <v>2.3202447730749753E-2</v>
      </c>
      <c r="Y36" s="4">
        <f>('CUMULS INDEX'!W62/'CUMULS INDEX'!W63)-1</f>
        <v>2.3078940466823905E-2</v>
      </c>
      <c r="Z36" s="4">
        <f>('CUMULS INDEX'!X62/'CUMULS INDEX'!X63)-1</f>
        <v>2.5095227425498745E-2</v>
      </c>
      <c r="AA36" s="4">
        <f>('CUMULS INDEX'!Y62/'CUMULS INDEX'!Y63)-1</f>
        <v>1.1491501077328214E-2</v>
      </c>
    </row>
    <row r="37" spans="1:27">
      <c r="C37" t="s">
        <v>42</v>
      </c>
      <c r="D37" s="4">
        <f>('CUMULS INDEX'!B78/'CUMULS INDEX'!B79)-1</f>
        <v>3.4017072238502033E-2</v>
      </c>
      <c r="E37" s="4">
        <f>('CUMULS INDEX'!C78/'CUMULS INDEX'!C79)-1</f>
        <v>2.237246465888143E-2</v>
      </c>
      <c r="F37" s="4">
        <f>('CUMULS INDEX'!D78/'CUMULS INDEX'!D79)-1</f>
        <v>4.0989752561859438E-2</v>
      </c>
      <c r="G37" s="4">
        <f>('CUMULS INDEX'!E78/'CUMULS INDEX'!E79)-1</f>
        <v>3.8107380648817246E-2</v>
      </c>
      <c r="H37" s="4">
        <f>('CUMULS INDEX'!F78/'CUMULS INDEX'!F79)-1</f>
        <v>3.0249558860599768E-2</v>
      </c>
      <c r="I37" s="4">
        <f>('CUMULS INDEX'!G78/'CUMULS INDEX'!G79)-1</f>
        <v>2.2904543766250063E-2</v>
      </c>
      <c r="J37" s="4">
        <f>('CUMULS INDEX'!H78/'CUMULS INDEX'!H79)-1</f>
        <v>2.3903400689995191E-2</v>
      </c>
      <c r="K37" s="4">
        <f>('CUMULS INDEX'!I78/'CUMULS INDEX'!I79)-1</f>
        <v>7.2444390421781746E-2</v>
      </c>
      <c r="L37" s="4">
        <f>('CUMULS INDEX'!J78/'CUMULS INDEX'!J79)-1</f>
        <v>5.3171287504747422E-2</v>
      </c>
      <c r="M37" s="4">
        <f>('CUMULS INDEX'!K78/'CUMULS INDEX'!K79)-1</f>
        <v>3.56039065397451E-2</v>
      </c>
      <c r="N37" s="4">
        <f>('CUMULS INDEX'!L78/'CUMULS INDEX'!L79)-1</f>
        <v>3.667228197486061E-2</v>
      </c>
      <c r="O37" s="4">
        <f>('CUMULS INDEX'!M78/'CUMULS INDEX'!M79)-1</f>
        <v>4.7760388559093148E-2</v>
      </c>
      <c r="P37" s="4">
        <f>('CUMULS INDEX'!N78/'CUMULS INDEX'!N79)-1</f>
        <v>2.3448275862069101E-2</v>
      </c>
      <c r="Q37" s="4">
        <f>('CUMULS INDEX'!O78/'CUMULS INDEX'!O79)-1</f>
        <v>4.214166773408512E-2</v>
      </c>
      <c r="R37" s="4">
        <f>('CUMULS INDEX'!P78/'CUMULS INDEX'!P79)-1</f>
        <v>2.3305084745762761E-2</v>
      </c>
      <c r="S37" s="4">
        <f>('CUMULS INDEX'!Q78/'CUMULS INDEX'!Q79)-1</f>
        <v>1.9554869419786458E-2</v>
      </c>
      <c r="T37" s="4">
        <f>('CUMULS INDEX'!R78/'CUMULS INDEX'!R79)-1</f>
        <v>2.5637755102041027E-2</v>
      </c>
      <c r="U37" s="4">
        <f>('CUMULS INDEX'!S78/'CUMULS INDEX'!S79)-1</f>
        <v>1.6507936507936583E-2</v>
      </c>
      <c r="V37" s="4">
        <f>('CUMULS INDEX'!T78/'CUMULS INDEX'!T79)-1</f>
        <v>4.1229385307346433E-2</v>
      </c>
      <c r="W37" s="4">
        <f>('CUMULS INDEX'!U78/'CUMULS INDEX'!U79)-1</f>
        <v>1.9623131903833801E-2</v>
      </c>
      <c r="X37" s="4">
        <f>('CUMULS INDEX'!V78/'CUMULS INDEX'!V79)-1</f>
        <v>1.8482864844050706E-2</v>
      </c>
      <c r="Y37" s="4">
        <f>('CUMULS INDEX'!W78/'CUMULS INDEX'!W79)-1</f>
        <v>2.7848101265822711E-2</v>
      </c>
      <c r="Z37" s="4">
        <f>('CUMULS INDEX'!X78/'CUMULS INDEX'!X79)-1</f>
        <v>5.2274496718942576E-3</v>
      </c>
      <c r="AA37" s="4">
        <f>('CUMULS INDEX'!Y78/'CUMULS INDEX'!Y79)-1</f>
        <v>3.0161844041196595E-2</v>
      </c>
    </row>
    <row r="38" spans="1:27">
      <c r="A38"/>
      <c r="D38" s="4"/>
      <c r="E38" s="4"/>
    </row>
    <row r="39" spans="1:27" ht="18.75">
      <c r="B39" s="235" t="s">
        <v>184</v>
      </c>
      <c r="C39" s="235"/>
      <c r="D39" s="235"/>
      <c r="E39" s="235"/>
      <c r="F39" s="235"/>
      <c r="G39" s="235"/>
      <c r="H39" s="235"/>
      <c r="I39" s="235"/>
      <c r="J39" s="235"/>
      <c r="K39" s="235"/>
      <c r="L39" s="235"/>
      <c r="M39" s="235"/>
    </row>
    <row r="40" spans="1:27">
      <c r="B40" s="100"/>
      <c r="C40" s="100"/>
      <c r="D40" s="100"/>
      <c r="E40" s="100"/>
      <c r="G40" s="100"/>
      <c r="H40" s="100"/>
      <c r="I40" s="100"/>
      <c r="J40" s="3" t="str" cm="1">
        <f t="array" ref="J40:J41">'A MODIFIER'!A7:A8</f>
        <v>*3 mois = Cumul mars 2026-mai 2026 / Cumul déc 2025-févr 2026</v>
      </c>
      <c r="K40" s="100"/>
      <c r="L40" s="100"/>
    </row>
    <row r="41" spans="1:27">
      <c r="B41" s="100"/>
      <c r="C41" s="100"/>
      <c r="D41" s="100"/>
      <c r="E41" s="100"/>
      <c r="G41" s="100"/>
      <c r="H41" s="100"/>
      <c r="I41" s="100"/>
      <c r="J41" s="3" t="str">
        <v>*6 mois = Cumul déc 2025-mai 2026 / Cumul juin 2025-nov 2025</v>
      </c>
      <c r="K41" s="100"/>
      <c r="L41" s="100"/>
    </row>
    <row r="42" spans="1:27">
      <c r="A42"/>
      <c r="B42" s="100"/>
      <c r="C42" s="100"/>
      <c r="D42" s="100"/>
      <c r="E42" s="100"/>
      <c r="F42" s="100"/>
      <c r="G42" s="100"/>
      <c r="H42" s="100"/>
      <c r="I42" s="100"/>
      <c r="J42" s="100"/>
      <c r="K42" s="100"/>
      <c r="L42" s="100"/>
      <c r="M42" s="100"/>
    </row>
    <row r="43" spans="1:27">
      <c r="B43" s="241" t="s">
        <v>187</v>
      </c>
      <c r="C43" s="233"/>
      <c r="D43" s="233"/>
      <c r="E43" s="233"/>
      <c r="J43" s="241" t="s">
        <v>188</v>
      </c>
      <c r="K43" s="233"/>
      <c r="L43" s="233"/>
      <c r="M43" s="233"/>
    </row>
    <row r="44" spans="1:27">
      <c r="D44" s="21" t="s">
        <v>39</v>
      </c>
      <c r="E44" s="21" t="s">
        <v>40</v>
      </c>
      <c r="L44" s="21" t="s">
        <v>39</v>
      </c>
      <c r="M44" s="21" t="s">
        <v>40</v>
      </c>
    </row>
    <row r="45" spans="1:27">
      <c r="A45" s="34" t="s">
        <v>84</v>
      </c>
      <c r="B45" s="32" t="s">
        <v>47</v>
      </c>
      <c r="C45" t="s">
        <v>115</v>
      </c>
      <c r="D45" s="4" cm="1">
        <f t="array" ref="D45:D83">TRANSPOSE('3-6 MOIS GLISSANTS'!D88:AP88)</f>
        <v>8.9709762532981241E-3</v>
      </c>
      <c r="E45" s="4" cm="1">
        <f t="array" ref="E45:E83">TRANSPOSE('3-6 MOIS GLISSANTS'!D89:AP89)</f>
        <v>2.3696682464453556E-3</v>
      </c>
      <c r="J45" t="str" cm="1">
        <f t="array" ref="J45:M83">_xlfn._xlws.SORT(B45:E83,3,-1,FALSE)</f>
        <v>Gazole routier HTT</v>
      </c>
      <c r="K45" t="str">
        <v>Gazole routier HTT</v>
      </c>
      <c r="L45" s="4">
        <v>0.57121933130039126</v>
      </c>
      <c r="M45" s="4">
        <v>0.30464311328091953</v>
      </c>
    </row>
    <row r="46" spans="1:27">
      <c r="A46" s="211" t="s">
        <v>352</v>
      </c>
      <c r="B46" s="32">
        <v>8308500</v>
      </c>
      <c r="C46" t="s">
        <v>116</v>
      </c>
      <c r="D46" s="4">
        <v>5.6258790436005679E-3</v>
      </c>
      <c r="E46" s="4">
        <v>2.0758768790264837E-2</v>
      </c>
      <c r="J46" t="str">
        <v>010777519</v>
      </c>
      <c r="K46" t="str">
        <v>GNR pour les Travaux Publics</v>
      </c>
      <c r="L46" s="4">
        <v>0.45688714254529583</v>
      </c>
      <c r="M46" s="4">
        <v>0.28982351592940625</v>
      </c>
    </row>
    <row r="47" spans="1:27">
      <c r="A47" s="34" t="s">
        <v>85</v>
      </c>
      <c r="B47" s="32" t="s">
        <v>49</v>
      </c>
      <c r="C47" t="s">
        <v>117</v>
      </c>
      <c r="D47" s="4">
        <v>4.1172196657786042E-3</v>
      </c>
      <c r="E47" s="4">
        <v>1.0995723885155684E-2</v>
      </c>
      <c r="J47" t="str">
        <v>010764297</v>
      </c>
      <c r="K47" t="str">
        <v>Gaz naturel</v>
      </c>
      <c r="L47" s="4">
        <v>0.43821712268314217</v>
      </c>
      <c r="M47" s="4">
        <v>0.13800205973223489</v>
      </c>
    </row>
    <row r="48" spans="1:27">
      <c r="A48" s="34" t="s">
        <v>279</v>
      </c>
      <c r="B48" s="32" t="s">
        <v>317</v>
      </c>
      <c r="C48" t="s">
        <v>316</v>
      </c>
      <c r="D48" s="4">
        <v>0.45688714254529583</v>
      </c>
      <c r="E48" s="4">
        <v>0.28982351592940625</v>
      </c>
      <c r="J48" t="str">
        <v>010764136</v>
      </c>
      <c r="K48" t="str">
        <v>Bitume</v>
      </c>
      <c r="L48" s="4">
        <v>0.3837288135593222</v>
      </c>
      <c r="M48" s="4">
        <v>4.689593568557382E-2</v>
      </c>
    </row>
    <row r="49" spans="1:13">
      <c r="A49" s="34" t="s">
        <v>86</v>
      </c>
      <c r="B49" s="32" t="s">
        <v>50</v>
      </c>
      <c r="C49" t="s">
        <v>118</v>
      </c>
      <c r="D49" s="4">
        <v>0.30985729386892169</v>
      </c>
      <c r="E49" s="4">
        <v>0.16876995336553735</v>
      </c>
      <c r="J49" t="str">
        <v>010764143</v>
      </c>
      <c r="K49" t="str">
        <v>Matières plastiques sous formes primaires</v>
      </c>
      <c r="L49" s="4">
        <v>0.31210443037974689</v>
      </c>
      <c r="M49" s="4">
        <v>9.3545369504209441E-2</v>
      </c>
    </row>
    <row r="50" spans="1:13">
      <c r="A50" s="34" t="s">
        <v>87</v>
      </c>
      <c r="B50" s="32" t="s">
        <v>51</v>
      </c>
      <c r="C50" t="s">
        <v>119</v>
      </c>
      <c r="D50" s="4">
        <v>1.2328383300644452E-2</v>
      </c>
      <c r="E50" s="4">
        <v>1.3943112102621225E-3</v>
      </c>
      <c r="F50" s="4"/>
      <c r="J50" t="str">
        <v>001764283</v>
      </c>
      <c r="K50" t="str">
        <v>Gazole</v>
      </c>
      <c r="L50" s="4">
        <v>0.30985729386892169</v>
      </c>
      <c r="M50" s="4">
        <v>0.16876995336553735</v>
      </c>
    </row>
    <row r="51" spans="1:13">
      <c r="A51" s="34" t="s">
        <v>88</v>
      </c>
      <c r="B51" s="32" t="s">
        <v>52</v>
      </c>
      <c r="C51" t="s">
        <v>120</v>
      </c>
      <c r="D51" s="4">
        <v>1.9373673036093386E-2</v>
      </c>
      <c r="E51" s="4">
        <v>1.1566072852964737E-2</v>
      </c>
      <c r="J51" t="str">
        <v>010763845</v>
      </c>
      <c r="K51" t="str">
        <v>Tubes, tuyaux en matière plastique</v>
      </c>
      <c r="L51" s="4">
        <v>9.468438538205981E-2</v>
      </c>
      <c r="M51" s="4">
        <v>3.3776028857189777E-2</v>
      </c>
    </row>
    <row r="52" spans="1:13">
      <c r="A52" s="34" t="s">
        <v>280</v>
      </c>
      <c r="B52" s="186" t="s">
        <v>320</v>
      </c>
      <c r="C52" t="s">
        <v>121</v>
      </c>
      <c r="D52" s="4">
        <v>-0.16633266533066127</v>
      </c>
      <c r="E52" s="4">
        <v>0.28211116300794026</v>
      </c>
      <c r="J52" t="str">
        <v>010764160</v>
      </c>
      <c r="K52" t="str">
        <v>Plaques, feuilles, tubes et profilés en matières plastiques</v>
      </c>
      <c r="L52" s="4">
        <v>7.6504481434058746E-2</v>
      </c>
      <c r="M52" s="4">
        <v>1.5021123454858287E-2</v>
      </c>
    </row>
    <row r="53" spans="1:13">
      <c r="A53" s="158" t="s">
        <v>281</v>
      </c>
      <c r="B53" s="186" t="s">
        <v>321</v>
      </c>
      <c r="C53" t="s">
        <v>263</v>
      </c>
      <c r="D53" s="4">
        <v>0.43821712268314217</v>
      </c>
      <c r="E53" s="4">
        <v>0.13800205973223489</v>
      </c>
      <c r="J53" t="str">
        <v>010766236</v>
      </c>
      <c r="K53" t="str">
        <v>Barres crénelées ou nervurées pour béton armé</v>
      </c>
      <c r="L53" s="4">
        <v>6.7730634488127661E-2</v>
      </c>
      <c r="M53" s="4">
        <v>1.0654490106544845E-2</v>
      </c>
    </row>
    <row r="54" spans="1:13" ht="30">
      <c r="A54" s="34" t="s">
        <v>90</v>
      </c>
      <c r="B54" s="32" t="s">
        <v>55</v>
      </c>
      <c r="C54" t="s">
        <v>55</v>
      </c>
      <c r="D54" s="4">
        <v>0.57121933130039126</v>
      </c>
      <c r="E54" s="4">
        <v>0.30464311328091953</v>
      </c>
      <c r="J54" t="str">
        <v>010763881</v>
      </c>
      <c r="K54" t="str">
        <v>Produits sidérurgiques en acier non allié</v>
      </c>
      <c r="L54" s="4">
        <v>6.48745519713263E-2</v>
      </c>
      <c r="M54" s="4">
        <v>3.7831021437578549E-2</v>
      </c>
    </row>
    <row r="55" spans="1:13">
      <c r="A55" s="34" t="s">
        <v>282</v>
      </c>
      <c r="B55" s="32" t="s">
        <v>322</v>
      </c>
      <c r="C55" t="s">
        <v>122</v>
      </c>
      <c r="D55" s="4">
        <v>9.468438538205981E-2</v>
      </c>
      <c r="E55" s="4">
        <v>3.3776028857189777E-2</v>
      </c>
      <c r="J55" t="str">
        <v>010765839</v>
      </c>
      <c r="K55" t="str">
        <v>Tôles quarto et autres produits plats en aciers non alliés de qualité</v>
      </c>
      <c r="L55" s="4">
        <v>5.9586542359140626E-2</v>
      </c>
      <c r="M55" s="4">
        <v>5.4586965545869726E-2</v>
      </c>
    </row>
    <row r="56" spans="1:13">
      <c r="A56" s="34" t="s">
        <v>284</v>
      </c>
      <c r="B56" s="186" t="s">
        <v>283</v>
      </c>
      <c r="C56" t="s">
        <v>123</v>
      </c>
      <c r="D56" s="4">
        <v>3.2116788321168155E-3</v>
      </c>
      <c r="E56" s="4">
        <v>9.415918787700539E-3</v>
      </c>
      <c r="J56" t="str">
        <v>010764224</v>
      </c>
      <c r="K56" t="str">
        <v>Matériel de distribution et de commande électrique</v>
      </c>
      <c r="L56" s="4">
        <v>5.9339008512769187E-2</v>
      </c>
      <c r="M56" s="4">
        <v>9.5352243973898076E-2</v>
      </c>
    </row>
    <row r="57" spans="1:13">
      <c r="A57" s="34" t="s">
        <v>285</v>
      </c>
      <c r="B57" s="186" t="s">
        <v>323</v>
      </c>
      <c r="C57" t="s">
        <v>124</v>
      </c>
      <c r="D57" s="4">
        <v>2.4371859296482334E-2</v>
      </c>
      <c r="E57" s="4">
        <v>2.077790447231731E-2</v>
      </c>
      <c r="J57" t="str">
        <v>010764301</v>
      </c>
      <c r="K57" t="str">
        <v>Collecte, traitement et élimination des déchets ; récupération de matériaux</v>
      </c>
      <c r="L57" s="4">
        <v>4.5757575757575886E-2</v>
      </c>
      <c r="M57" s="4">
        <v>4.4076708939065901E-2</v>
      </c>
    </row>
    <row r="58" spans="1:13">
      <c r="A58" s="34" t="s">
        <v>286</v>
      </c>
      <c r="B58" s="186" t="s">
        <v>324</v>
      </c>
      <c r="C58" t="s">
        <v>125</v>
      </c>
      <c r="D58" s="4">
        <v>6.7730634488127661E-2</v>
      </c>
      <c r="E58" s="4">
        <v>1.0654490106544845E-2</v>
      </c>
      <c r="J58" t="str">
        <v>010763930</v>
      </c>
      <c r="K58" t="str">
        <v>Fils et câbles d'énergie</v>
      </c>
      <c r="L58" s="4">
        <v>3.7882589061716043E-2</v>
      </c>
      <c r="M58" s="4">
        <v>8.2056747036099775E-2</v>
      </c>
    </row>
    <row r="59" spans="1:13">
      <c r="A59" s="34" t="s">
        <v>287</v>
      </c>
      <c r="B59" s="195" t="s">
        <v>319</v>
      </c>
      <c r="C59" t="s">
        <v>126</v>
      </c>
      <c r="D59" s="4">
        <v>2.3050654524758185E-2</v>
      </c>
      <c r="E59" s="4">
        <v>2.302489566844157E-2</v>
      </c>
      <c r="J59" t="str">
        <v>010764149</v>
      </c>
      <c r="K59" t="str">
        <v>Autres produits chimiques</v>
      </c>
      <c r="L59" s="4">
        <v>3.4441449535789204E-2</v>
      </c>
      <c r="M59" s="4">
        <v>3.9957134109001924E-2</v>
      </c>
    </row>
    <row r="60" spans="1:13">
      <c r="A60" s="34" t="s">
        <v>288</v>
      </c>
      <c r="B60" s="32" t="s">
        <v>325</v>
      </c>
      <c r="C60" t="s">
        <v>127</v>
      </c>
      <c r="D60" s="4">
        <v>7.6504481434058746E-2</v>
      </c>
      <c r="E60" s="4">
        <v>1.5021123454858287E-2</v>
      </c>
      <c r="J60" t="str">
        <v>010764223</v>
      </c>
      <c r="K60" t="str">
        <v>Moteurs, génératrices, transfo. électr., matér. distrib., cmde électr.</v>
      </c>
      <c r="L60" s="4">
        <v>3.3307107264620939E-2</v>
      </c>
      <c r="M60" s="4">
        <v>6.5265182742511696E-2</v>
      </c>
    </row>
    <row r="61" spans="1:13">
      <c r="A61" s="34" t="s">
        <v>289</v>
      </c>
      <c r="B61" s="32" t="s">
        <v>326</v>
      </c>
      <c r="C61" t="s">
        <v>128</v>
      </c>
      <c r="D61" s="4">
        <v>1.4905149051490652E-2</v>
      </c>
      <c r="E61" s="4">
        <v>3.3595922150138957E-2</v>
      </c>
      <c r="J61" t="str">
        <v>010764195</v>
      </c>
      <c r="K61" t="str">
        <v>Travaux de fonderie de fonte</v>
      </c>
      <c r="L61" s="4">
        <v>2.5006512112529355E-2</v>
      </c>
      <c r="M61" s="4">
        <v>5.9523809523811533E-3</v>
      </c>
    </row>
    <row r="62" spans="1:13">
      <c r="A62" s="34" t="s">
        <v>290</v>
      </c>
      <c r="B62" s="32" t="s">
        <v>327</v>
      </c>
      <c r="C62" t="s">
        <v>258</v>
      </c>
      <c r="D62" s="4">
        <v>3.4441449535789204E-2</v>
      </c>
      <c r="E62" s="4">
        <v>3.9957134109001924E-2</v>
      </c>
      <c r="J62" t="str">
        <v>010764181</v>
      </c>
      <c r="K62" t="str">
        <v>Mortiers et bétons secs</v>
      </c>
      <c r="L62" s="4">
        <v>2.4890190336749551E-2</v>
      </c>
      <c r="M62" s="4">
        <v>7.5768614308611149E-3</v>
      </c>
    </row>
    <row r="63" spans="1:13">
      <c r="A63" s="34" t="s">
        <v>291</v>
      </c>
      <c r="B63" s="32" t="s">
        <v>328</v>
      </c>
      <c r="C63" t="s">
        <v>129</v>
      </c>
      <c r="D63" s="4">
        <v>1.0328292143120477E-2</v>
      </c>
      <c r="E63" s="4">
        <v>-6.1998541210794844E-3</v>
      </c>
      <c r="J63" t="str">
        <v>010764180</v>
      </c>
      <c r="K63" t="str">
        <v>Béton prêt à l'emploi</v>
      </c>
      <c r="L63" s="4">
        <v>2.4371859296482334E-2</v>
      </c>
      <c r="M63" s="4">
        <v>2.077790447231731E-2</v>
      </c>
    </row>
    <row r="64" spans="1:13">
      <c r="A64" s="34" t="s">
        <v>292</v>
      </c>
      <c r="B64" s="32" t="s">
        <v>329</v>
      </c>
      <c r="C64" t="s">
        <v>130</v>
      </c>
      <c r="D64" s="4">
        <v>0.3837288135593222</v>
      </c>
      <c r="E64" s="4">
        <v>4.689593568557382E-2</v>
      </c>
      <c r="J64" t="str">
        <v>010765500</v>
      </c>
      <c r="K64" t="str">
        <v>Sables et granulats</v>
      </c>
      <c r="L64" s="4">
        <v>2.3050654524758185E-2</v>
      </c>
      <c r="M64" s="4">
        <v>2.302489566844157E-2</v>
      </c>
    </row>
    <row r="65" spans="1:13">
      <c r="A65" s="34" t="s">
        <v>293</v>
      </c>
      <c r="B65" s="32" t="s">
        <v>330</v>
      </c>
      <c r="C65" t="s">
        <v>131</v>
      </c>
      <c r="D65" s="4">
        <v>-3.3995815899581561E-2</v>
      </c>
      <c r="E65" s="4">
        <v>-4.4605413648494019E-2</v>
      </c>
      <c r="J65" t="str">
        <v>010764228</v>
      </c>
      <c r="K65" t="str">
        <v>Appareils d'éclairage électrique</v>
      </c>
      <c r="L65" s="4">
        <v>2.0012706480305065E-2</v>
      </c>
      <c r="M65" s="4">
        <v>-1.1041990668740342E-2</v>
      </c>
    </row>
    <row r="66" spans="1:13">
      <c r="A66" s="34" t="s">
        <v>294</v>
      </c>
      <c r="B66" s="32" t="s">
        <v>331</v>
      </c>
      <c r="C66" t="s">
        <v>132</v>
      </c>
      <c r="D66" s="4">
        <v>2.4890190336749551E-2</v>
      </c>
      <c r="E66" s="4">
        <v>7.5768614308611149E-3</v>
      </c>
      <c r="J66" t="str">
        <v>001711943</v>
      </c>
      <c r="K66" t="str">
        <v>Transports routiers</v>
      </c>
      <c r="L66" s="4">
        <v>1.9373673036093386E-2</v>
      </c>
      <c r="M66" s="4">
        <v>1.1566072852964737E-2</v>
      </c>
    </row>
    <row r="67" spans="1:13">
      <c r="A67" s="34" t="s">
        <v>295</v>
      </c>
      <c r="B67" s="32" t="s">
        <v>332</v>
      </c>
      <c r="C67" t="s">
        <v>133</v>
      </c>
      <c r="D67" s="4">
        <v>2.5006512112529355E-2</v>
      </c>
      <c r="E67" s="4">
        <v>5.9523809523811533E-3</v>
      </c>
      <c r="J67" t="str">
        <v>010764176</v>
      </c>
      <c r="K67" t="str">
        <v>Ciment, chaux et plâtre</v>
      </c>
      <c r="L67" s="4">
        <v>1.4905149051490652E-2</v>
      </c>
      <c r="M67" s="4">
        <v>3.3595922150138957E-2</v>
      </c>
    </row>
    <row r="68" spans="1:13">
      <c r="A68" s="34" t="s">
        <v>296</v>
      </c>
      <c r="B68" s="32" t="s">
        <v>333</v>
      </c>
      <c r="C68" t="s">
        <v>134</v>
      </c>
      <c r="D68" s="4">
        <v>6.4377682403433667E-3</v>
      </c>
      <c r="E68" s="4">
        <v>3.8172491947989773E-3</v>
      </c>
      <c r="J68" t="str">
        <v>010764187</v>
      </c>
      <c r="K68" t="str">
        <v>Tubes, tuyaux, profilés creux et accessoires correspondants en acier</v>
      </c>
      <c r="L68" s="4">
        <v>1.4539579967689953E-2</v>
      </c>
      <c r="M68" s="4">
        <v>2.6478254904650722E-2</v>
      </c>
    </row>
    <row r="69" spans="1:13">
      <c r="A69" s="34" t="s">
        <v>297</v>
      </c>
      <c r="B69" s="32" t="s">
        <v>334</v>
      </c>
      <c r="C69" t="s">
        <v>266</v>
      </c>
      <c r="D69" s="4">
        <v>1.1071060762101181E-2</v>
      </c>
      <c r="E69" s="4">
        <v>1.4020511489029941E-2</v>
      </c>
      <c r="J69" t="str">
        <v>010764834</v>
      </c>
      <c r="K69" t="str">
        <v>Câbles de fibres optiques</v>
      </c>
      <c r="L69" s="4">
        <v>1.3765182186235014E-2</v>
      </c>
      <c r="M69" s="4">
        <v>2.4183796856105388E-3</v>
      </c>
    </row>
    <row r="70" spans="1:13">
      <c r="A70" s="34" t="s">
        <v>298</v>
      </c>
      <c r="B70" s="32" t="s">
        <v>335</v>
      </c>
      <c r="C70" t="s">
        <v>261</v>
      </c>
      <c r="D70" s="4">
        <v>8.7768969422423737E-3</v>
      </c>
      <c r="E70" s="4">
        <v>1.3716245177882502E-2</v>
      </c>
      <c r="J70" t="str">
        <v>001711011</v>
      </c>
      <c r="K70" t="str">
        <v>Frais divers</v>
      </c>
      <c r="L70" s="4">
        <v>1.2328383300644452E-2</v>
      </c>
      <c r="M70" s="4">
        <v>1.3943112102621225E-3</v>
      </c>
    </row>
    <row r="71" spans="1:13">
      <c r="A71" s="34" t="s">
        <v>299</v>
      </c>
      <c r="B71" s="32" t="s">
        <v>336</v>
      </c>
      <c r="C71" t="s">
        <v>135</v>
      </c>
      <c r="D71" s="4">
        <v>0.31210443037974689</v>
      </c>
      <c r="E71" s="4">
        <v>9.3545369504209441E-2</v>
      </c>
      <c r="J71" t="str">
        <v>010766292</v>
      </c>
      <c r="K71" t="str">
        <v>Réseaux d’assainissement</v>
      </c>
      <c r="L71" s="4">
        <v>1.1071060762101181E-2</v>
      </c>
      <c r="M71" s="4">
        <v>1.4020511489029941E-2</v>
      </c>
    </row>
    <row r="72" spans="1:13">
      <c r="A72" s="34" t="s">
        <v>300</v>
      </c>
      <c r="B72" s="32" t="s">
        <v>337</v>
      </c>
      <c r="C72" t="s">
        <v>136</v>
      </c>
      <c r="D72" s="4">
        <v>1.4539579967689953E-2</v>
      </c>
      <c r="E72" s="4">
        <v>2.6478254904650722E-2</v>
      </c>
      <c r="J72" t="str">
        <v>010765837</v>
      </c>
      <c r="K72" t="str">
        <v>Acier pour la construction</v>
      </c>
      <c r="L72" s="4">
        <v>1.0328292143120477E-2</v>
      </c>
      <c r="M72" s="4">
        <v>-6.1998541210794844E-3</v>
      </c>
    </row>
    <row r="73" spans="1:13">
      <c r="A73" s="34" t="s">
        <v>301</v>
      </c>
      <c r="B73" s="32" t="s">
        <v>338</v>
      </c>
      <c r="C73" t="s">
        <v>137</v>
      </c>
      <c r="D73" s="4">
        <v>-3.9347948285554102E-3</v>
      </c>
      <c r="E73" s="4">
        <v>-2.8081999438359651E-3</v>
      </c>
      <c r="J73" t="str">
        <v>001711009</v>
      </c>
      <c r="K73" t="str">
        <v>Matériel</v>
      </c>
      <c r="L73" s="4">
        <v>8.9709762532981241E-3</v>
      </c>
      <c r="M73" s="4">
        <v>2.3696682464453556E-3</v>
      </c>
    </row>
    <row r="74" spans="1:13">
      <c r="A74" s="34" t="s">
        <v>302</v>
      </c>
      <c r="B74" s="32" t="s">
        <v>339</v>
      </c>
      <c r="C74" t="s">
        <v>138</v>
      </c>
      <c r="D74" s="4">
        <v>3.7882589061716043E-2</v>
      </c>
      <c r="E74" s="4">
        <v>8.2056747036099775E-2</v>
      </c>
      <c r="J74" t="str">
        <v>010764101</v>
      </c>
      <c r="K74" t="str">
        <v>Autres textiles</v>
      </c>
      <c r="L74" s="4">
        <v>8.7768969422423737E-3</v>
      </c>
      <c r="M74" s="4">
        <v>1.3716245177882502E-2</v>
      </c>
    </row>
    <row r="75" spans="1:13">
      <c r="A75" s="34" t="s">
        <v>303</v>
      </c>
      <c r="B75" s="32" t="s">
        <v>340</v>
      </c>
      <c r="C75" t="s">
        <v>139</v>
      </c>
      <c r="D75" s="4">
        <v>3.3307107264620939E-2</v>
      </c>
      <c r="E75" s="4">
        <v>6.5265182742511696E-2</v>
      </c>
      <c r="J75" t="str">
        <v>010764172</v>
      </c>
      <c r="K75" t="str">
        <v>Tuiles, briques et produits de construction en terre cuite</v>
      </c>
      <c r="L75" s="4">
        <v>6.4377682403433667E-3</v>
      </c>
      <c r="M75" s="4">
        <v>3.8172491947989773E-3</v>
      </c>
    </row>
    <row r="76" spans="1:13">
      <c r="A76" s="34" t="s">
        <v>304</v>
      </c>
      <c r="B76" s="32" t="s">
        <v>341</v>
      </c>
      <c r="C76" t="s">
        <v>140</v>
      </c>
      <c r="D76" s="4">
        <v>5.9339008512769187E-2</v>
      </c>
      <c r="E76" s="4">
        <v>9.5352243973898076E-2</v>
      </c>
      <c r="J76">
        <v>8308500</v>
      </c>
      <c r="K76" t="str">
        <v>Travail</v>
      </c>
      <c r="L76" s="4">
        <v>5.6258790436005679E-3</v>
      </c>
      <c r="M76" s="4">
        <v>2.0758768790264837E-2</v>
      </c>
    </row>
    <row r="77" spans="1:13">
      <c r="A77" s="34" t="s">
        <v>318</v>
      </c>
      <c r="B77" s="32" t="s">
        <v>342</v>
      </c>
      <c r="C77" t="s">
        <v>141</v>
      </c>
      <c r="D77" s="4">
        <v>2.0012706480305065E-2</v>
      </c>
      <c r="E77" s="4">
        <v>-1.1041990668740342E-2</v>
      </c>
      <c r="J77" t="str">
        <v>001565195</v>
      </c>
      <c r="K77" t="str">
        <v>Travail activités spécialisées</v>
      </c>
      <c r="L77" s="4">
        <v>4.1172196657786042E-3</v>
      </c>
      <c r="M77" s="4">
        <v>1.0995723885155684E-2</v>
      </c>
    </row>
    <row r="78" spans="1:13">
      <c r="A78" s="34" t="s">
        <v>305</v>
      </c>
      <c r="B78" s="32" t="s">
        <v>343</v>
      </c>
      <c r="C78" t="s">
        <v>142</v>
      </c>
      <c r="D78" s="4">
        <v>1.3765182186235014E-2</v>
      </c>
      <c r="E78" s="4">
        <v>2.4183796856105388E-3</v>
      </c>
      <c r="J78" t="str">
        <v>010764306</v>
      </c>
      <c r="K78" t="str">
        <v>Traitement et élimination des déchets non dangereux</v>
      </c>
      <c r="L78" s="4">
        <v>3.9414414414415955E-3</v>
      </c>
      <c r="M78" s="4">
        <v>3.2417195207894434E-3</v>
      </c>
    </row>
    <row r="79" spans="1:13">
      <c r="A79" s="34" t="s">
        <v>306</v>
      </c>
      <c r="B79" s="32" t="s">
        <v>344</v>
      </c>
      <c r="C79" t="s">
        <v>143</v>
      </c>
      <c r="D79" s="4">
        <v>-2.6168699186991939E-2</v>
      </c>
      <c r="E79" s="4">
        <v>-4.2755051749630457E-2</v>
      </c>
      <c r="J79" t="str">
        <v> 010764116</v>
      </c>
      <c r="K79" t="str">
        <v>Ensemble des produits du sciage</v>
      </c>
      <c r="L79" s="4">
        <v>3.2116788321168155E-3</v>
      </c>
      <c r="M79" s="4">
        <v>9.415918787700539E-3</v>
      </c>
    </row>
    <row r="80" spans="1:13">
      <c r="A80" s="34" t="s">
        <v>307</v>
      </c>
      <c r="B80" s="32" t="s">
        <v>345</v>
      </c>
      <c r="C80" t="s">
        <v>144</v>
      </c>
      <c r="D80" s="4">
        <v>6.48745519713263E-2</v>
      </c>
      <c r="E80" s="4">
        <v>3.7831021437578549E-2</v>
      </c>
      <c r="J80" t="str">
        <v>010764179</v>
      </c>
      <c r="K80" t="str">
        <v>Éléments en béton pour la construction</v>
      </c>
      <c r="L80" s="4">
        <v>-3.9347948285554102E-3</v>
      </c>
      <c r="M80" s="4">
        <v>-2.8081999438359651E-3</v>
      </c>
    </row>
    <row r="81" spans="1:42">
      <c r="A81" s="34" t="s">
        <v>308</v>
      </c>
      <c r="B81" s="32" t="s">
        <v>346</v>
      </c>
      <c r="C81" t="s">
        <v>145</v>
      </c>
      <c r="D81" s="4">
        <v>5.9586542359140626E-2</v>
      </c>
      <c r="E81" s="4">
        <v>5.4586965545869726E-2</v>
      </c>
      <c r="J81" t="str">
        <v>010763825</v>
      </c>
      <c r="K81" t="str">
        <v>Peintures Industries</v>
      </c>
      <c r="L81" s="4">
        <v>-2.6168699186991939E-2</v>
      </c>
      <c r="M81" s="4">
        <v>-4.2755051749630457E-2</v>
      </c>
    </row>
    <row r="82" spans="1:42">
      <c r="A82" s="34" t="s">
        <v>309</v>
      </c>
      <c r="B82" s="32" t="s">
        <v>347</v>
      </c>
      <c r="C82" t="s">
        <v>148</v>
      </c>
      <c r="D82" s="4">
        <v>3.9414414414415955E-3</v>
      </c>
      <c r="E82" s="4">
        <v>3.2417195207894434E-3</v>
      </c>
      <c r="J82" t="str">
        <v>010763871</v>
      </c>
      <c r="K82" t="str">
        <v>Produits de voierie en béton</v>
      </c>
      <c r="L82" s="4">
        <v>-3.3995815899581561E-2</v>
      </c>
      <c r="M82" s="4">
        <v>-4.4605413648494019E-2</v>
      </c>
    </row>
    <row r="83" spans="1:42">
      <c r="A83" s="34" t="s">
        <v>310</v>
      </c>
      <c r="B83" s="32" t="s">
        <v>348</v>
      </c>
      <c r="C83" t="s">
        <v>149</v>
      </c>
      <c r="D83" s="4">
        <v>4.5757575757575886E-2</v>
      </c>
      <c r="E83" s="4">
        <v>4.4076708939065901E-2</v>
      </c>
      <c r="J83" t="str">
        <v>010764291</v>
      </c>
      <c r="K83" t="str">
        <v>Électricité vendue aux entreprises consommatrices finales</v>
      </c>
      <c r="L83" s="4">
        <v>-0.16633266533066127</v>
      </c>
      <c r="M83" s="4">
        <v>0.28211116300794026</v>
      </c>
    </row>
    <row r="84" spans="1:42">
      <c r="L84" s="4"/>
      <c r="M84" s="4"/>
    </row>
    <row r="85" spans="1:42">
      <c r="L85" s="4"/>
      <c r="M85" s="4"/>
    </row>
    <row r="87" spans="1:42">
      <c r="D87" s="99" t="str" cm="1">
        <f t="array" ref="D87:AP87">TRANSPOSE('3-6 MOIS GLISSANTS'!C45:C83)</f>
        <v>Matériel</v>
      </c>
      <c r="E87" s="99" t="str">
        <v>Travail</v>
      </c>
      <c r="F87" s="99" t="str">
        <v>Travail activités spécialisées</v>
      </c>
      <c r="G87" s="99" t="str">
        <v>GNR pour les Travaux Publics</v>
      </c>
      <c r="H87" s="99" t="str">
        <v>Gazole</v>
      </c>
      <c r="I87" s="99" t="str">
        <v>Frais divers</v>
      </c>
      <c r="J87" s="99" t="str">
        <v>Transports routiers</v>
      </c>
      <c r="K87" s="99" t="str">
        <v>Électricité vendue aux entreprises consommatrices finales</v>
      </c>
      <c r="L87" s="99" t="str">
        <v>Gaz naturel</v>
      </c>
      <c r="M87" s="99" t="str">
        <v>Gazole routier HTT</v>
      </c>
      <c r="N87" s="99" t="str">
        <v>Tubes, tuyaux en matière plastique</v>
      </c>
      <c r="O87" s="99" t="str">
        <v>Ensemble des produits du sciage</v>
      </c>
      <c r="P87" s="99" t="str">
        <v>Béton prêt à l'emploi</v>
      </c>
      <c r="Q87" s="99" t="str">
        <v>Barres crénelées ou nervurées pour béton armé</v>
      </c>
      <c r="R87" s="99" t="str">
        <v>Sables et granulats</v>
      </c>
      <c r="S87" s="99" t="str">
        <v>Plaques, feuilles, tubes et profilés en matières plastiques</v>
      </c>
      <c r="T87" s="99" t="str">
        <v>Ciment, chaux et plâtre</v>
      </c>
      <c r="U87" s="99" t="str">
        <v>Autres produits chimiques</v>
      </c>
      <c r="V87" s="99" t="str">
        <v>Acier pour la construction</v>
      </c>
      <c r="W87" s="99" t="str">
        <v>Bitume</v>
      </c>
      <c r="X87" s="99" t="str">
        <v>Produits de voierie en béton</v>
      </c>
      <c r="Y87" s="99" t="str">
        <v>Mortiers et bétons secs</v>
      </c>
      <c r="Z87" s="99" t="str">
        <v>Travaux de fonderie de fonte</v>
      </c>
      <c r="AA87" s="99" t="str">
        <v>Tuiles, briques et produits de construction en terre cuite</v>
      </c>
      <c r="AB87" s="99" t="str">
        <v>Réseaux d’assainissement</v>
      </c>
      <c r="AC87" s="99" t="str">
        <v>Autres textiles</v>
      </c>
      <c r="AD87" s="99" t="str">
        <v>Matières plastiques sous formes primaires</v>
      </c>
      <c r="AE87" s="99" t="str">
        <v>Tubes, tuyaux, profilés creux et accessoires correspondants en acier</v>
      </c>
      <c r="AF87" s="99" t="str">
        <v>Éléments en béton pour la construction</v>
      </c>
      <c r="AG87" s="99" t="str">
        <v>Fils et câbles d'énergie</v>
      </c>
      <c r="AH87" s="99" t="str">
        <v>Moteurs, génératrices, transfo. électr., matér. distrib., cmde électr.</v>
      </c>
      <c r="AI87" s="99" t="str">
        <v>Matériel de distribution et de commande électrique</v>
      </c>
      <c r="AJ87" s="99" t="str">
        <v>Appareils d'éclairage électrique</v>
      </c>
      <c r="AK87" s="99" t="str">
        <v>Câbles de fibres optiques</v>
      </c>
      <c r="AL87" s="99" t="str">
        <v>Peintures Industries</v>
      </c>
      <c r="AM87" s="99" t="str">
        <v>Produits sidérurgiques en acier non allié</v>
      </c>
      <c r="AN87" s="99" t="str">
        <v>Tôles quarto et autres produits plats en aciers non alliés de qualité</v>
      </c>
      <c r="AO87" s="99" t="str">
        <v>Traitement et élimination des déchets non dangereux</v>
      </c>
      <c r="AP87" s="99" t="str">
        <v>Collecte, traitement et élimination des déchets ; récupération de matériaux</v>
      </c>
    </row>
    <row r="88" spans="1:42">
      <c r="C88" t="s">
        <v>41</v>
      </c>
      <c r="D88" s="4">
        <f>('CUMULS INDICES'!B157/'CUMULS INDICES'!B158)-1</f>
        <v>8.9709762532981241E-3</v>
      </c>
      <c r="E88" s="4">
        <f>('CUMULS INDICES'!C157/'CUMULS INDICES'!C158)-1</f>
        <v>5.6258790436005679E-3</v>
      </c>
      <c r="F88" s="4">
        <f>('CUMULS INDICES'!D157/'CUMULS INDICES'!D158)-1</f>
        <v>4.1172196657786042E-3</v>
      </c>
      <c r="G88" s="4">
        <f>('CUMULS INDICES'!E157/'CUMULS INDICES'!E158)-1</f>
        <v>0.45688714254529583</v>
      </c>
      <c r="H88" s="4">
        <f>('CUMULS INDICES'!F157/'CUMULS INDICES'!F158)-1</f>
        <v>0.30985729386892169</v>
      </c>
      <c r="I88" s="4">
        <f>('CUMULS INDICES'!G157/'CUMULS INDICES'!G158)-1</f>
        <v>1.2328383300644452E-2</v>
      </c>
      <c r="J88" s="4">
        <f>('CUMULS INDICES'!H157/'CUMULS INDICES'!H158)-1</f>
        <v>1.9373673036093386E-2</v>
      </c>
      <c r="K88" s="4">
        <f>('CUMULS INDICES'!I157/'CUMULS INDICES'!I158)-1</f>
        <v>-0.16633266533066127</v>
      </c>
      <c r="L88" s="4">
        <f>('CUMULS INDICES'!J157/'CUMULS INDICES'!J158)-1</f>
        <v>0.43821712268314217</v>
      </c>
      <c r="M88" s="4">
        <f>('CUMULS INDICES'!K157/'CUMULS INDICES'!K158)-1</f>
        <v>0.57121933130039126</v>
      </c>
      <c r="N88" s="4">
        <f>('CUMULS INDICES'!L157/'CUMULS INDICES'!L158)-1</f>
        <v>9.468438538205981E-2</v>
      </c>
      <c r="O88" s="4">
        <f>('CUMULS INDICES'!M157/'CUMULS INDICES'!M158)-1</f>
        <v>3.2116788321168155E-3</v>
      </c>
      <c r="P88" s="4">
        <f>('CUMULS INDICES'!N157/'CUMULS INDICES'!N158)-1</f>
        <v>2.4371859296482334E-2</v>
      </c>
      <c r="Q88" s="4">
        <f>('CUMULS INDICES'!O157/'CUMULS INDICES'!O158)-1</f>
        <v>6.7730634488127661E-2</v>
      </c>
      <c r="R88" s="4">
        <f>('CUMULS INDICES'!P157/'CUMULS INDICES'!P158)-1</f>
        <v>2.3050654524758185E-2</v>
      </c>
      <c r="S88" s="4">
        <f>('CUMULS INDICES'!Q157/'CUMULS INDICES'!Q158)-1</f>
        <v>7.6504481434058746E-2</v>
      </c>
      <c r="T88" s="4">
        <f>('CUMULS INDICES'!R157/'CUMULS INDICES'!R158)-1</f>
        <v>1.4905149051490652E-2</v>
      </c>
      <c r="U88" s="4">
        <f>('CUMULS INDICES'!S157/'CUMULS INDICES'!S158)-1</f>
        <v>3.4441449535789204E-2</v>
      </c>
      <c r="V88" s="4">
        <f>('CUMULS INDICES'!T157/'CUMULS INDICES'!T158)-1</f>
        <v>1.0328292143120477E-2</v>
      </c>
      <c r="W88" s="4">
        <f>('CUMULS INDICES'!U157/'CUMULS INDICES'!U158)-1</f>
        <v>0.3837288135593222</v>
      </c>
      <c r="X88" s="4">
        <f>('CUMULS INDICES'!V157/'CUMULS INDICES'!V158)-1</f>
        <v>-3.3995815899581561E-2</v>
      </c>
      <c r="Y88" s="4">
        <f>('CUMULS INDICES'!W157/'CUMULS INDICES'!W158)-1</f>
        <v>2.4890190336749551E-2</v>
      </c>
      <c r="Z88" s="4">
        <f>('CUMULS INDICES'!X157/'CUMULS INDICES'!X158)-1</f>
        <v>2.5006512112529355E-2</v>
      </c>
      <c r="AA88" s="4">
        <f>('CUMULS INDICES'!Y157/'CUMULS INDICES'!Y158)-1</f>
        <v>6.4377682403433667E-3</v>
      </c>
      <c r="AB88" s="4">
        <f>('CUMULS INDICES'!Z157/'CUMULS INDICES'!Z158)-1</f>
        <v>1.1071060762101181E-2</v>
      </c>
      <c r="AC88" s="4">
        <f>('CUMULS INDICES'!AA157/'CUMULS INDICES'!AA158)-1</f>
        <v>8.7768969422423737E-3</v>
      </c>
      <c r="AD88" s="4">
        <f>('CUMULS INDICES'!AB157/'CUMULS INDICES'!AB158)-1</f>
        <v>0.31210443037974689</v>
      </c>
      <c r="AE88" s="4">
        <f>('CUMULS INDICES'!AC157/'CUMULS INDICES'!AC158)-1</f>
        <v>1.4539579967689953E-2</v>
      </c>
      <c r="AF88" s="4">
        <f>('CUMULS INDICES'!AD157/'CUMULS INDICES'!AD158)-1</f>
        <v>-3.9347948285554102E-3</v>
      </c>
      <c r="AG88" s="4">
        <f>('CUMULS INDICES'!AE157/'CUMULS INDICES'!AE158)-1</f>
        <v>3.7882589061716043E-2</v>
      </c>
      <c r="AH88" s="4">
        <f>('CUMULS INDICES'!AF157/'CUMULS INDICES'!AF158)-1</f>
        <v>3.3307107264620939E-2</v>
      </c>
      <c r="AI88" s="4">
        <f>('CUMULS INDICES'!AG157/'CUMULS INDICES'!AG158)-1</f>
        <v>5.9339008512769187E-2</v>
      </c>
      <c r="AJ88" s="4">
        <f>('CUMULS INDICES'!AH157/'CUMULS INDICES'!AH158)-1</f>
        <v>2.0012706480305065E-2</v>
      </c>
      <c r="AK88" s="4">
        <f>('CUMULS INDICES'!AI157/'CUMULS INDICES'!AI158)-1</f>
        <v>1.3765182186235014E-2</v>
      </c>
      <c r="AL88" s="4">
        <f>('CUMULS INDICES'!AJ157/'CUMULS INDICES'!AJ158)-1</f>
        <v>-2.6168699186991939E-2</v>
      </c>
      <c r="AM88" s="4">
        <f>('CUMULS INDICES'!AK157/'CUMULS INDICES'!AK158)-1</f>
        <v>6.48745519713263E-2</v>
      </c>
      <c r="AN88" s="4">
        <f>('CUMULS INDICES'!AL157/'CUMULS INDICES'!AL158)-1</f>
        <v>5.9586542359140626E-2</v>
      </c>
      <c r="AO88" s="4">
        <f>('CUMULS INDICES'!AM157/'CUMULS INDICES'!AM158)-1</f>
        <v>3.9414414414415955E-3</v>
      </c>
      <c r="AP88" s="4">
        <f>('CUMULS INDICES'!AN157/'CUMULS INDICES'!AN158)-1</f>
        <v>4.5757575757575886E-2</v>
      </c>
    </row>
    <row r="89" spans="1:42">
      <c r="C89" t="s">
        <v>42</v>
      </c>
      <c r="D89" s="4">
        <f>('CUMULS INDICES'!B173/'CUMULS INDICES'!B174)-1</f>
        <v>2.3696682464453556E-3</v>
      </c>
      <c r="E89" s="4">
        <f>('CUMULS INDICES'!C173/'CUMULS INDICES'!C174)-1</f>
        <v>2.0758768790264837E-2</v>
      </c>
      <c r="F89" s="4">
        <f>('CUMULS INDICES'!D173/'CUMULS INDICES'!D174)-1</f>
        <v>1.0995723885155684E-2</v>
      </c>
      <c r="G89" s="4">
        <f>('CUMULS INDICES'!E173/'CUMULS INDICES'!E174)-1</f>
        <v>0.28982351592940625</v>
      </c>
      <c r="H89" s="4">
        <f>('CUMULS INDICES'!F173/'CUMULS INDICES'!F174)-1</f>
        <v>0.16876995336553735</v>
      </c>
      <c r="I89" s="4">
        <f>('CUMULS INDICES'!G173/'CUMULS INDICES'!G174)-1</f>
        <v>1.3943112102621225E-3</v>
      </c>
      <c r="J89" s="4">
        <f>('CUMULS INDICES'!H173/'CUMULS INDICES'!H174)-1</f>
        <v>1.1566072852964737E-2</v>
      </c>
      <c r="K89" s="4">
        <f>('CUMULS INDICES'!I173/'CUMULS INDICES'!I174)-1</f>
        <v>0.28211116300794026</v>
      </c>
      <c r="L89" s="4">
        <f>('CUMULS INDICES'!J173/'CUMULS INDICES'!J174)-1</f>
        <v>0.13800205973223489</v>
      </c>
      <c r="M89" s="4">
        <f>('CUMULS INDICES'!K173/'CUMULS INDICES'!K174)-1</f>
        <v>0.30464311328091953</v>
      </c>
      <c r="N89" s="4">
        <f>('CUMULS INDICES'!L173/'CUMULS INDICES'!L174)-1</f>
        <v>3.3776028857189777E-2</v>
      </c>
      <c r="O89" s="4">
        <f>('CUMULS INDICES'!M173/'CUMULS INDICES'!M174)-1</f>
        <v>9.415918787700539E-3</v>
      </c>
      <c r="P89" s="4">
        <f>('CUMULS INDICES'!N173/'CUMULS INDICES'!N174)-1</f>
        <v>2.077790447231731E-2</v>
      </c>
      <c r="Q89" s="4">
        <f>('CUMULS INDICES'!O173/'CUMULS INDICES'!O174)-1</f>
        <v>1.0654490106544845E-2</v>
      </c>
      <c r="R89" s="4">
        <f>('CUMULS INDICES'!P173/'CUMULS INDICES'!P174)-1</f>
        <v>2.302489566844157E-2</v>
      </c>
      <c r="S89" s="4">
        <f>('CUMULS INDICES'!Q173/'CUMULS INDICES'!Q174)-1</f>
        <v>1.5021123454858287E-2</v>
      </c>
      <c r="T89" s="4">
        <f>('CUMULS INDICES'!R173/'CUMULS INDICES'!R174)-1</f>
        <v>3.3595922150138957E-2</v>
      </c>
      <c r="U89" s="4">
        <f>('CUMULS INDICES'!S173/'CUMULS INDICES'!S174)-1</f>
        <v>3.9957134109001924E-2</v>
      </c>
      <c r="V89" s="4">
        <f>('CUMULS INDICES'!T173/'CUMULS INDICES'!T174)-1</f>
        <v>-6.1998541210794844E-3</v>
      </c>
      <c r="W89" s="4">
        <f>('CUMULS INDICES'!U173/'CUMULS INDICES'!U174)-1</f>
        <v>4.689593568557382E-2</v>
      </c>
      <c r="X89" s="4">
        <f>('CUMULS INDICES'!V173/'CUMULS INDICES'!V174)-1</f>
        <v>-4.4605413648494019E-2</v>
      </c>
      <c r="Y89" s="4">
        <f>('CUMULS INDICES'!W173/'CUMULS INDICES'!W174)-1</f>
        <v>7.5768614308611149E-3</v>
      </c>
      <c r="Z89" s="4">
        <f>('CUMULS INDICES'!X173/'CUMULS INDICES'!X174)-1</f>
        <v>5.9523809523811533E-3</v>
      </c>
      <c r="AA89" s="4">
        <f>('CUMULS INDICES'!Y173/'CUMULS INDICES'!Y174)-1</f>
        <v>3.8172491947989773E-3</v>
      </c>
      <c r="AB89" s="4">
        <f>('CUMULS INDICES'!Z173/'CUMULS INDICES'!Z174)-1</f>
        <v>1.4020511489029941E-2</v>
      </c>
      <c r="AC89" s="4">
        <f>('CUMULS INDICES'!AA173/'CUMULS INDICES'!AA174)-1</f>
        <v>1.3716245177882502E-2</v>
      </c>
      <c r="AD89" s="4">
        <f>('CUMULS INDICES'!AB173/'CUMULS INDICES'!AB174)-1</f>
        <v>9.3545369504209441E-2</v>
      </c>
      <c r="AE89" s="4">
        <f>('CUMULS INDICES'!AC173/'CUMULS INDICES'!AC174)-1</f>
        <v>2.6478254904650722E-2</v>
      </c>
      <c r="AF89" s="4">
        <f>('CUMULS INDICES'!AD173/'CUMULS INDICES'!AD174)-1</f>
        <v>-2.8081999438359651E-3</v>
      </c>
      <c r="AG89" s="4">
        <f>('CUMULS INDICES'!AE173/'CUMULS INDICES'!AE174)-1</f>
        <v>8.2056747036099775E-2</v>
      </c>
      <c r="AH89" s="4">
        <f>('CUMULS INDICES'!AF173/'CUMULS INDICES'!AF174)-1</f>
        <v>6.5265182742511696E-2</v>
      </c>
      <c r="AI89" s="4">
        <f>('CUMULS INDICES'!AG173/'CUMULS INDICES'!AG174)-1</f>
        <v>9.5352243973898076E-2</v>
      </c>
      <c r="AJ89" s="4">
        <f>('CUMULS INDICES'!AH173/'CUMULS INDICES'!AH174)-1</f>
        <v>-1.1041990668740342E-2</v>
      </c>
      <c r="AK89" s="4">
        <f>('CUMULS INDICES'!AI173/'CUMULS INDICES'!AI174)-1</f>
        <v>2.4183796856105388E-3</v>
      </c>
      <c r="AL89" s="4">
        <f>('CUMULS INDICES'!AJ173/'CUMULS INDICES'!AJ174)-1</f>
        <v>-4.2755051749630457E-2</v>
      </c>
      <c r="AM89" s="4">
        <f>('CUMULS INDICES'!AK173/'CUMULS INDICES'!AK174)-1</f>
        <v>3.7831021437578549E-2</v>
      </c>
      <c r="AN89" s="4">
        <f>('CUMULS INDICES'!AL173/'CUMULS INDICES'!AL174)-1</f>
        <v>5.4586965545869726E-2</v>
      </c>
      <c r="AO89" s="4">
        <f>('CUMULS INDICES'!AM173/'CUMULS INDICES'!AM174)-1</f>
        <v>3.2417195207894434E-3</v>
      </c>
      <c r="AP89" s="4">
        <f>('CUMULS INDICES'!AN173/'CUMULS INDICES'!AN174)-1</f>
        <v>4.4076708939065901E-2</v>
      </c>
    </row>
  </sheetData>
  <sheetProtection algorithmName="SHA-512" hashValue="Ms2Zazp3aUJ7PtwdJTFWfQnyRfZlhMrwM2/GaVsKGsL2AwT9WoUNrSzQKawu0vKw2VqhMOP2MAUZxKql/tquOQ==" saltValue="jDuUuPW6L0wF41vO9nVV1A==" spinCount="100000" sheet="1" objects="1" scenarios="1"/>
  <mergeCells count="6">
    <mergeCell ref="B43:E43"/>
    <mergeCell ref="J43:M43"/>
    <mergeCell ref="J7:M7"/>
    <mergeCell ref="B1:M1"/>
    <mergeCell ref="B7:E7"/>
    <mergeCell ref="B39:M39"/>
  </mergeCells>
  <hyperlinks>
    <hyperlink ref="A53" r:id="rId1" display="https://www.insee.fr/fr/statistiques/serie/010534776" xr:uid="{75F15595-28D2-4ADC-9C42-6076A442E79D}"/>
    <hyperlink ref="A23" r:id="rId2" xr:uid="{B13F0E54-046D-4647-B478-2FBC19DCBAFF}"/>
    <hyperlink ref="A28" r:id="rId3" display="https://www.insee.fr/fr/statistiques/serie/001711002" xr:uid="{143A15EC-A239-429F-A570-9580D462BE8A}"/>
    <hyperlink ref="A27" r:id="rId4" xr:uid="{2A465E3B-9FC1-4772-8069-04A6728F31E5}"/>
    <hyperlink ref="A46" r:id="rId5" xr:uid="{F6954115-B067-46DE-BE9D-EC9226F825E7}"/>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D2CB0-9C44-4E81-ACA2-92B2323FF3D8}">
  <sheetPr codeName="Feuil21">
    <tabColor rgb="FF92D050"/>
  </sheetPr>
  <dimension ref="A1:AQ84"/>
  <sheetViews>
    <sheetView topLeftCell="A51" workbookViewId="0">
      <selection activeCell="B92" sqref="B92"/>
    </sheetView>
  </sheetViews>
  <sheetFormatPr baseColWidth="10" defaultRowHeight="15"/>
  <cols>
    <col min="2" max="2" width="96.5703125" customWidth="1"/>
    <col min="11" max="11" width="23.140625" customWidth="1"/>
  </cols>
  <sheetData>
    <row r="1" spans="1:12" ht="18.75">
      <c r="A1" s="235" t="s">
        <v>183</v>
      </c>
      <c r="B1" s="235"/>
      <c r="C1" s="235"/>
      <c r="D1" s="235"/>
      <c r="E1" s="235"/>
      <c r="F1" s="235"/>
      <c r="G1" s="235"/>
      <c r="H1" s="235"/>
      <c r="I1" s="235"/>
      <c r="J1" s="235"/>
      <c r="K1" s="235"/>
      <c r="L1" s="235"/>
    </row>
    <row r="6" spans="1:12">
      <c r="A6" s="242" t="str">
        <f>UPPER('RESULTATS DATE A DATE'!B20)</f>
        <v>EVOLUTION ENTRE JANV. 2018 ET MAI. 2026</v>
      </c>
      <c r="B6" s="242"/>
      <c r="C6" s="242"/>
      <c r="J6" s="242" t="s">
        <v>191</v>
      </c>
      <c r="K6" s="242"/>
      <c r="L6" s="242"/>
    </row>
    <row r="7" spans="1:12">
      <c r="A7" t="s">
        <v>19</v>
      </c>
      <c r="B7" t="s">
        <v>0</v>
      </c>
      <c r="C7" s="20" cm="1">
        <f t="array" ref="C7:C30">TRANSPOSE(C34:Z34)</f>
        <v>0.30848089468779127</v>
      </c>
      <c r="J7" t="str" cm="1">
        <f t="array" ref="J7:L30">_xlfn._xlws.SORT(A7:C30,3,-1)</f>
        <v>TP10d</v>
      </c>
      <c r="K7" t="str">
        <v>Réseaux de chauffage et de froid avec fourniture de tuyaux</v>
      </c>
      <c r="L7" s="4" t="e">
        <v>#N/A</v>
      </c>
    </row>
    <row r="8" spans="1:12">
      <c r="A8" t="s">
        <v>20</v>
      </c>
      <c r="B8" t="s">
        <v>1</v>
      </c>
      <c r="C8" s="20">
        <v>0.26798561151079126</v>
      </c>
      <c r="J8" t="str">
        <v>TP10e</v>
      </c>
      <c r="K8" t="str">
        <v>Canalisations, assainnissement et adduction d'eau avec fourniture de tuyaux en fonte majoritaire</v>
      </c>
      <c r="L8" s="4" t="e">
        <v>#N/A</v>
      </c>
    </row>
    <row r="9" spans="1:12">
      <c r="A9" t="s">
        <v>21</v>
      </c>
      <c r="B9" t="s">
        <v>2</v>
      </c>
      <c r="C9" s="20">
        <v>0.32869080779944282</v>
      </c>
      <c r="J9" t="str">
        <v>TP13b</v>
      </c>
      <c r="K9" t="str">
        <v>Charpentes et ouvrages d'art métalliques sans fourniture des aciers</v>
      </c>
      <c r="L9" s="4" t="e">
        <v>#N/A</v>
      </c>
    </row>
    <row r="10" spans="1:12">
      <c r="A10" t="s">
        <v>22</v>
      </c>
      <c r="B10" t="s">
        <v>3</v>
      </c>
      <c r="C10" s="20">
        <v>0.17817164179104461</v>
      </c>
      <c r="J10" t="str">
        <v>TP06a</v>
      </c>
      <c r="K10" t="str">
        <v>Grands dragages maritimes </v>
      </c>
      <c r="L10" s="4">
        <v>0.41932543299908831</v>
      </c>
    </row>
    <row r="11" spans="1:12">
      <c r="A11" t="s">
        <v>23</v>
      </c>
      <c r="B11" t="s">
        <v>4</v>
      </c>
      <c r="C11" s="20">
        <v>0.27397260273972601</v>
      </c>
      <c r="J11" t="str">
        <v>TP13a</v>
      </c>
      <c r="K11" t="str">
        <v>Charpentes et ouvrages d'art métalliques</v>
      </c>
      <c r="L11" s="4">
        <v>0.41881918819188191</v>
      </c>
    </row>
    <row r="12" spans="1:12">
      <c r="A12" t="s">
        <v>24</v>
      </c>
      <c r="B12" t="s">
        <v>5</v>
      </c>
      <c r="C12" s="20">
        <v>0.2849264705882355</v>
      </c>
      <c r="J12" t="str">
        <v>TP09</v>
      </c>
      <c r="K12" t="str">
        <v>Fabrication et mise en œuvre d’enrobés </v>
      </c>
      <c r="L12" s="4">
        <v>0.40913604766633571</v>
      </c>
    </row>
    <row r="13" spans="1:12">
      <c r="A13" t="s">
        <v>25</v>
      </c>
      <c r="B13" t="s">
        <v>6</v>
      </c>
      <c r="C13" s="20">
        <v>0.28821362799263373</v>
      </c>
      <c r="J13" t="str">
        <v>TP07b</v>
      </c>
      <c r="K13" t="str">
        <v>Travaux de génie civil, béton et acier pour ouvrages maritimes et fluviaux</v>
      </c>
      <c r="L13" s="4">
        <v>0.36657169990503324</v>
      </c>
    </row>
    <row r="14" spans="1:12">
      <c r="A14" t="s">
        <v>26</v>
      </c>
      <c r="B14" t="s">
        <v>7</v>
      </c>
      <c r="C14" s="20">
        <v>0.41932543299908831</v>
      </c>
      <c r="J14" t="str">
        <v>TP06b</v>
      </c>
      <c r="K14" t="str">
        <v>Dragages fluviaux et petits dragages maritimes</v>
      </c>
      <c r="L14" s="4">
        <v>0.34676663542642916</v>
      </c>
    </row>
    <row r="15" spans="1:12">
      <c r="A15" t="s">
        <v>27</v>
      </c>
      <c r="B15" t="s">
        <v>8</v>
      </c>
      <c r="C15" s="20">
        <v>0.34676663542642916</v>
      </c>
      <c r="J15" t="str">
        <v>TP11</v>
      </c>
      <c r="K15" t="str">
        <v>Canalisations grandes distances de transport / transfert  avec fourniture de tuyaux</v>
      </c>
      <c r="L15" s="4">
        <v>0.33560975609756105</v>
      </c>
    </row>
    <row r="16" spans="1:12">
      <c r="A16" t="s">
        <v>28</v>
      </c>
      <c r="B16" t="s">
        <v>275</v>
      </c>
      <c r="C16" s="20">
        <v>0.36657169990503324</v>
      </c>
      <c r="J16" t="str">
        <v>TP10c</v>
      </c>
      <c r="K16" t="str">
        <v>Réhabilitation de canalisations non visitables</v>
      </c>
      <c r="L16" s="4">
        <v>0.33272561531449396</v>
      </c>
    </row>
    <row r="17" spans="1:12">
      <c r="A17" t="s">
        <v>29</v>
      </c>
      <c r="B17" t="s">
        <v>351</v>
      </c>
      <c r="C17" s="20">
        <v>0.33111322549952438</v>
      </c>
      <c r="J17" t="str">
        <v>TP08</v>
      </c>
      <c r="K17" t="str">
        <v>Travaux d’aménagement et entretien de voirie en zonesrurale et urbaine</v>
      </c>
      <c r="L17" s="4">
        <v>0.33111322549952438</v>
      </c>
    </row>
    <row r="18" spans="1:12">
      <c r="A18" t="s">
        <v>30</v>
      </c>
      <c r="B18" t="s">
        <v>9</v>
      </c>
      <c r="C18" s="20">
        <v>0.40913604766633571</v>
      </c>
      <c r="J18" t="str">
        <v>TP03a</v>
      </c>
      <c r="K18" t="str">
        <v>Grands terrassements</v>
      </c>
      <c r="L18" s="4">
        <v>0.32869080779944282</v>
      </c>
    </row>
    <row r="19" spans="1:12">
      <c r="A19" t="s">
        <v>31</v>
      </c>
      <c r="B19" t="s">
        <v>10</v>
      </c>
      <c r="C19" s="20">
        <v>0.25522252497729325</v>
      </c>
      <c r="J19" t="str">
        <v>TP12a</v>
      </c>
      <c r="K19" t="str">
        <v>Réseaux d'énergie et de communication</v>
      </c>
      <c r="L19" s="4">
        <v>0.30917431192660549</v>
      </c>
    </row>
    <row r="20" spans="1:12">
      <c r="A20" t="s">
        <v>32</v>
      </c>
      <c r="B20" t="s">
        <v>11</v>
      </c>
      <c r="C20" s="20">
        <v>0.33272561531449396</v>
      </c>
      <c r="J20" t="str">
        <v>TP01</v>
      </c>
      <c r="K20" t="str">
        <v>Index général tous travaux</v>
      </c>
      <c r="L20" s="4">
        <v>0.30848089468779127</v>
      </c>
    </row>
    <row r="21" spans="1:12">
      <c r="A21" t="s">
        <v>33</v>
      </c>
      <c r="B21" t="s">
        <v>12</v>
      </c>
      <c r="C21" s="20" t="e">
        <v>#N/A</v>
      </c>
      <c r="J21" t="str">
        <v>TP10f</v>
      </c>
      <c r="K21" t="str">
        <v>Canalisations, assainnissement et adduction d'eau avec fourniture de tuyaux avec fourniture de tuyaux multi-matériaux</v>
      </c>
      <c r="L21" s="4">
        <v>0.28822984244670979</v>
      </c>
    </row>
    <row r="22" spans="1:12">
      <c r="A22" t="s">
        <v>269</v>
      </c>
      <c r="B22" t="s">
        <v>276</v>
      </c>
      <c r="C22" s="20" t="e">
        <v>#N/A</v>
      </c>
      <c r="J22" t="str">
        <v>TP05b</v>
      </c>
      <c r="K22" t="str">
        <v xml:space="preserve">Travaux en souterrains avec tunnelier </v>
      </c>
      <c r="L22" s="4">
        <v>0.28821362799263373</v>
      </c>
    </row>
    <row r="23" spans="1:12">
      <c r="A23" s="80" t="s">
        <v>270</v>
      </c>
      <c r="B23" s="80" t="s">
        <v>277</v>
      </c>
      <c r="C23" s="20">
        <v>0.28822984244670979</v>
      </c>
      <c r="J23" t="str">
        <v>TP05a</v>
      </c>
      <c r="K23" t="str">
        <v xml:space="preserve">Travaux en souterrains traditionnels </v>
      </c>
      <c r="L23" s="4">
        <v>0.2849264705882355</v>
      </c>
    </row>
    <row r="24" spans="1:12">
      <c r="A24" s="80" t="s">
        <v>34</v>
      </c>
      <c r="B24" s="80" t="s">
        <v>13</v>
      </c>
      <c r="C24" s="20">
        <v>0.33560975609756105</v>
      </c>
      <c r="J24" t="str">
        <v>TP04</v>
      </c>
      <c r="K24" t="str">
        <v xml:space="preserve">Fondations et travaux géotechniques </v>
      </c>
      <c r="L24" s="4">
        <v>0.27397260273972601</v>
      </c>
    </row>
    <row r="25" spans="1:12">
      <c r="A25" t="s">
        <v>35</v>
      </c>
      <c r="B25" t="s">
        <v>14</v>
      </c>
      <c r="C25" s="20">
        <v>0.30917431192660549</v>
      </c>
      <c r="J25" t="str">
        <v>TP02</v>
      </c>
      <c r="K25" t="str">
        <v>Travaux de génie civil et d’ouvrages d’art neufs ou rénovation</v>
      </c>
      <c r="L25" s="4">
        <v>0.26798561151079126</v>
      </c>
    </row>
    <row r="26" spans="1:12">
      <c r="A26" t="s">
        <v>36</v>
      </c>
      <c r="B26" t="s">
        <v>15</v>
      </c>
      <c r="C26" s="20">
        <v>0.25727699530516435</v>
      </c>
      <c r="J26" t="str">
        <v>TP12b</v>
      </c>
      <c r="K26" t="str">
        <v>Éclairage public -Travaux d'installation</v>
      </c>
      <c r="L26" s="4">
        <v>0.25727699530516435</v>
      </c>
    </row>
    <row r="27" spans="1:12">
      <c r="A27" t="s">
        <v>37</v>
      </c>
      <c r="B27" t="s">
        <v>16</v>
      </c>
      <c r="C27" s="20">
        <v>0.21467391304347805</v>
      </c>
      <c r="J27" t="str">
        <v>TP10b</v>
      </c>
      <c r="K27" t="str">
        <v>Canalisations sans fourniture de tuyaux</v>
      </c>
      <c r="L27" s="4">
        <v>0.25522252497729325</v>
      </c>
    </row>
    <row r="28" spans="1:12">
      <c r="A28" t="s">
        <v>38</v>
      </c>
      <c r="B28" t="s">
        <v>17</v>
      </c>
      <c r="C28" s="20">
        <v>0.180505415162455</v>
      </c>
      <c r="J28" t="str">
        <v>TP12c</v>
      </c>
      <c r="K28" t="str">
        <v>Éclairage public - Travaux  de maintenance</v>
      </c>
      <c r="L28" s="4">
        <v>0.21467391304347805</v>
      </c>
    </row>
    <row r="29" spans="1:12">
      <c r="A29" t="s">
        <v>271</v>
      </c>
      <c r="B29" t="s">
        <v>278</v>
      </c>
      <c r="C29" s="20">
        <v>0.41881918819188191</v>
      </c>
      <c r="J29" t="str">
        <v>TP12d</v>
      </c>
      <c r="K29" t="str">
        <v>Réseaux de communication en fibre optique</v>
      </c>
      <c r="L29" s="4">
        <v>0.180505415162455</v>
      </c>
    </row>
    <row r="30" spans="1:12">
      <c r="A30" s="80" t="s">
        <v>272</v>
      </c>
      <c r="B30" s="80" t="s">
        <v>315</v>
      </c>
      <c r="C30" s="20" t="e">
        <v>#N/A</v>
      </c>
      <c r="J30" t="str">
        <v>TP03b</v>
      </c>
      <c r="K30" t="str">
        <v>Travaux à l’explosif</v>
      </c>
      <c r="L30" s="4">
        <v>0.17817164179104461</v>
      </c>
    </row>
    <row r="31" spans="1:12">
      <c r="A31" s="20"/>
      <c r="C31" s="20"/>
      <c r="L31" s="4"/>
    </row>
    <row r="32" spans="1:12">
      <c r="A32" s="20"/>
      <c r="C32" s="20"/>
      <c r="L32" s="4"/>
    </row>
    <row r="34" spans="1:26">
      <c r="C34">
        <f>('CUMULS INDEX'!B83/'CUMULS INDEX'!B82)-1</f>
        <v>0.30848089468779127</v>
      </c>
      <c r="D34">
        <f>('CUMULS INDEX'!C83/'CUMULS INDEX'!C82)-1</f>
        <v>0.26798561151079126</v>
      </c>
      <c r="E34">
        <f>('CUMULS INDEX'!D83/'CUMULS INDEX'!D82)-1</f>
        <v>0.32869080779944282</v>
      </c>
      <c r="F34">
        <f>('CUMULS INDEX'!E83/'CUMULS INDEX'!E82)-1</f>
        <v>0.17817164179104461</v>
      </c>
      <c r="G34">
        <f>('CUMULS INDEX'!F83/'CUMULS INDEX'!F82)-1</f>
        <v>0.27397260273972601</v>
      </c>
      <c r="H34">
        <f>('CUMULS INDEX'!G83/'CUMULS INDEX'!G82)-1</f>
        <v>0.2849264705882355</v>
      </c>
      <c r="I34">
        <f>('CUMULS INDEX'!H83/'CUMULS INDEX'!H82)-1</f>
        <v>0.28821362799263373</v>
      </c>
      <c r="J34">
        <f>('CUMULS INDEX'!I83/'CUMULS INDEX'!I82)-1</f>
        <v>0.41932543299908831</v>
      </c>
      <c r="K34">
        <f>('CUMULS INDEX'!J83/'CUMULS INDEX'!J82)-1</f>
        <v>0.34676663542642916</v>
      </c>
      <c r="L34">
        <f>('CUMULS INDEX'!K83/'CUMULS INDEX'!K82)-1</f>
        <v>0.36657169990503324</v>
      </c>
      <c r="M34">
        <f>('CUMULS INDEX'!L83/'CUMULS INDEX'!L82)-1</f>
        <v>0.33111322549952438</v>
      </c>
      <c r="N34">
        <f>('CUMULS INDEX'!M83/'CUMULS INDEX'!M82)-1</f>
        <v>0.40913604766633571</v>
      </c>
      <c r="O34">
        <f>('CUMULS INDEX'!N83/'CUMULS INDEX'!N82)-1</f>
        <v>0.25522252497729325</v>
      </c>
      <c r="P34">
        <f>('CUMULS INDEX'!O83/'CUMULS INDEX'!O82)-1</f>
        <v>0.33272561531449396</v>
      </c>
      <c r="Q34" t="e">
        <f>('CUMULS INDEX'!P83/'CUMULS INDEX'!P82)-1</f>
        <v>#N/A</v>
      </c>
      <c r="R34" t="e">
        <f>('CUMULS INDEX'!Q83/'CUMULS INDEX'!Q82)-1</f>
        <v>#N/A</v>
      </c>
      <c r="S34">
        <f>('CUMULS INDEX'!R83/'CUMULS INDEX'!R82)-1</f>
        <v>0.28822984244670979</v>
      </c>
      <c r="T34">
        <f>('CUMULS INDEX'!S83/'CUMULS INDEX'!S82)-1</f>
        <v>0.33560975609756105</v>
      </c>
      <c r="U34">
        <f>('CUMULS INDEX'!T83/'CUMULS INDEX'!T82)-1</f>
        <v>0.30917431192660549</v>
      </c>
      <c r="V34">
        <f>('CUMULS INDEX'!U83/'CUMULS INDEX'!U82)-1</f>
        <v>0.25727699530516435</v>
      </c>
      <c r="W34">
        <f>('CUMULS INDEX'!V83/'CUMULS INDEX'!V82)-1</f>
        <v>0.21467391304347805</v>
      </c>
      <c r="X34">
        <f>('CUMULS INDEX'!W83/'CUMULS INDEX'!W82)-1</f>
        <v>0.180505415162455</v>
      </c>
      <c r="Y34">
        <f>('CUMULS INDEX'!X83/'CUMULS INDEX'!X82)-1</f>
        <v>0.41881918819188191</v>
      </c>
      <c r="Z34" t="e">
        <f>('CUMULS INDEX'!Y83/'CUMULS INDEX'!Y82)-1</f>
        <v>#N/A</v>
      </c>
    </row>
    <row r="38" spans="1:26" ht="18.75">
      <c r="A38" s="235" t="s">
        <v>184</v>
      </c>
      <c r="B38" s="235"/>
      <c r="C38" s="235"/>
      <c r="D38" s="235"/>
      <c r="E38" s="235"/>
      <c r="F38" s="235"/>
      <c r="G38" s="235"/>
      <c r="H38" s="235"/>
      <c r="I38" s="235"/>
      <c r="J38" s="235"/>
      <c r="K38" s="235"/>
      <c r="L38" s="235"/>
    </row>
    <row r="39" spans="1:26">
      <c r="C39" s="4"/>
    </row>
    <row r="40" spans="1:26">
      <c r="C40" s="4"/>
    </row>
    <row r="41" spans="1:26">
      <c r="A41" s="247" t="str">
        <f>UPPER('RESULTATS DATE A DATE'!B20)</f>
        <v>EVOLUTION ENTRE JANV. 2018 ET MAI. 2026</v>
      </c>
      <c r="B41" s="247"/>
      <c r="C41" s="247"/>
      <c r="J41" s="242" t="s">
        <v>191</v>
      </c>
      <c r="K41" s="242"/>
      <c r="L41" s="242"/>
    </row>
    <row r="42" spans="1:26">
      <c r="A42" t="s">
        <v>47</v>
      </c>
      <c r="B42" t="s">
        <v>115</v>
      </c>
      <c r="C42" s="20" cm="1">
        <f t="array" ref="C42:C80">TRANSPOSE(C84:AO84)</f>
        <v>0.2276657060518732</v>
      </c>
      <c r="J42" cm="1">
        <f t="array" ref="J42:L80">_xlfn._xlws.SORT(A42:C80,3,-1,FALSE)</f>
        <v>10764297</v>
      </c>
      <c r="K42" t="str">
        <v>Gaz naturel</v>
      </c>
      <c r="L42" s="4">
        <v>1.251010685483871</v>
      </c>
    </row>
    <row r="43" spans="1:26">
      <c r="A43">
        <v>8308500</v>
      </c>
      <c r="B43" t="s">
        <v>116</v>
      </c>
      <c r="C43" s="20">
        <v>0.2139219015280136</v>
      </c>
      <c r="J43">
        <v>10777519</v>
      </c>
      <c r="K43" t="str">
        <v>GNR pour les Travaux Publics</v>
      </c>
      <c r="L43" s="4">
        <v>1.0722926873680283</v>
      </c>
    </row>
    <row r="44" spans="1:26">
      <c r="A44" t="s">
        <v>49</v>
      </c>
      <c r="B44" t="s">
        <v>117</v>
      </c>
      <c r="C44" s="20">
        <v>0.20069504778453506</v>
      </c>
      <c r="J44">
        <v>10764136</v>
      </c>
      <c r="K44" t="str">
        <v>Bitume</v>
      </c>
      <c r="L44" s="4">
        <v>0.97455182481751823</v>
      </c>
    </row>
    <row r="45" spans="1:26">
      <c r="A45" s="33">
        <v>10777519</v>
      </c>
      <c r="B45" t="s">
        <v>316</v>
      </c>
      <c r="C45" s="20">
        <v>1.0722926873680283</v>
      </c>
      <c r="J45" t="str">
        <v>Gazole routier HTT</v>
      </c>
      <c r="K45" t="str">
        <v>Gazole routier HTT</v>
      </c>
      <c r="L45" s="4">
        <v>0.87159937795929432</v>
      </c>
    </row>
    <row r="46" spans="1:26">
      <c r="A46" t="s">
        <v>50</v>
      </c>
      <c r="B46" t="s">
        <v>118</v>
      </c>
      <c r="C46" s="20">
        <v>0.51815561959654155</v>
      </c>
      <c r="J46">
        <v>10763930</v>
      </c>
      <c r="K46" t="str">
        <v>Fils et câbles d'énergie</v>
      </c>
      <c r="L46" s="4">
        <v>0.60124929577464781</v>
      </c>
    </row>
    <row r="47" spans="1:26">
      <c r="A47" t="s">
        <v>51</v>
      </c>
      <c r="B47" t="s">
        <v>119</v>
      </c>
      <c r="C47" s="20">
        <v>0.1891625615763548</v>
      </c>
      <c r="J47">
        <v>10764176</v>
      </c>
      <c r="K47" t="str">
        <v>Ciment, chaux et plâtre</v>
      </c>
      <c r="L47" s="4">
        <v>0.58406196623634576</v>
      </c>
    </row>
    <row r="48" spans="1:26">
      <c r="A48" t="s">
        <v>52</v>
      </c>
      <c r="B48" t="s">
        <v>120</v>
      </c>
      <c r="C48" s="20">
        <v>0.2234848484848484</v>
      </c>
      <c r="J48">
        <v>10764143</v>
      </c>
      <c r="K48" t="str">
        <v>Matières plastiques sous formes primaires</v>
      </c>
      <c r="L48" s="4">
        <v>0.54309271332694165</v>
      </c>
    </row>
    <row r="49" spans="1:12">
      <c r="A49">
        <v>10764291</v>
      </c>
      <c r="B49" t="s">
        <v>121</v>
      </c>
      <c r="C49" s="20">
        <v>0.24572691244239642</v>
      </c>
      <c r="J49">
        <v>10764224</v>
      </c>
      <c r="K49" t="str">
        <v>Matériel de distribution et de commande électrique</v>
      </c>
      <c r="L49" s="4">
        <v>0.52780536246276077</v>
      </c>
    </row>
    <row r="50" spans="1:12">
      <c r="A50">
        <v>10764297</v>
      </c>
      <c r="B50" t="s">
        <v>263</v>
      </c>
      <c r="C50" s="20">
        <v>1.251010685483871</v>
      </c>
      <c r="J50" t="str">
        <v>001764283</v>
      </c>
      <c r="K50" t="str">
        <v>Gazole</v>
      </c>
      <c r="L50" s="4">
        <v>0.51815561959654155</v>
      </c>
    </row>
    <row r="51" spans="1:12">
      <c r="A51" t="s">
        <v>55</v>
      </c>
      <c r="B51" t="s">
        <v>55</v>
      </c>
      <c r="C51" s="20">
        <v>0.87159937795929432</v>
      </c>
      <c r="J51">
        <v>10764149</v>
      </c>
      <c r="K51" t="str">
        <v>Autres produits chimiques</v>
      </c>
      <c r="L51" s="4">
        <v>0.49897552657973931</v>
      </c>
    </row>
    <row r="52" spans="1:12">
      <c r="A52">
        <v>10763845</v>
      </c>
      <c r="B52" t="s">
        <v>122</v>
      </c>
      <c r="C52" s="20">
        <v>0.3779994939271254</v>
      </c>
      <c r="J52">
        <v>10764172</v>
      </c>
      <c r="K52" t="str">
        <v>Tuiles, briques et produits de construction en terre cuite</v>
      </c>
      <c r="L52" s="4">
        <v>0.47625379241516952</v>
      </c>
    </row>
    <row r="53" spans="1:12">
      <c r="A53" t="s">
        <v>283</v>
      </c>
      <c r="B53" t="s">
        <v>123</v>
      </c>
      <c r="C53" s="20">
        <v>0.40097799511002452</v>
      </c>
      <c r="J53">
        <v>10764180</v>
      </c>
      <c r="K53" t="str">
        <v>Béton prêt à l'emploi</v>
      </c>
      <c r="L53" s="4">
        <v>0.45791867469879555</v>
      </c>
    </row>
    <row r="54" spans="1:12">
      <c r="A54">
        <v>10764180</v>
      </c>
      <c r="B54" t="s">
        <v>124</v>
      </c>
      <c r="C54" s="20">
        <v>0.45791867469879555</v>
      </c>
      <c r="J54">
        <v>10764195</v>
      </c>
      <c r="K54" t="str">
        <v>Travaux de fonderie de fonte</v>
      </c>
      <c r="L54" s="4">
        <v>0.43565897714907509</v>
      </c>
    </row>
    <row r="55" spans="1:12">
      <c r="A55">
        <v>10766236</v>
      </c>
      <c r="B55" t="s">
        <v>125</v>
      </c>
      <c r="C55" s="20">
        <v>0.26804366197183116</v>
      </c>
      <c r="J55">
        <v>10766292</v>
      </c>
      <c r="K55" t="str">
        <v>Réseaux d’assainissement</v>
      </c>
      <c r="L55" s="4">
        <v>0.43463575183044312</v>
      </c>
    </row>
    <row r="56" spans="1:12">
      <c r="A56">
        <v>10765500</v>
      </c>
      <c r="B56" t="s">
        <v>126</v>
      </c>
      <c r="C56" s="20">
        <v>0.26169696969696976</v>
      </c>
      <c r="J56">
        <v>10763825</v>
      </c>
      <c r="K56" t="str">
        <v>Peintures Industries</v>
      </c>
      <c r="L56" s="4">
        <v>0.42451232091690549</v>
      </c>
    </row>
    <row r="57" spans="1:12">
      <c r="A57">
        <v>10764160</v>
      </c>
      <c r="B57" t="s">
        <v>127</v>
      </c>
      <c r="C57" s="20">
        <v>0.35045494071146255</v>
      </c>
      <c r="J57" t="str">
        <v> 010764116</v>
      </c>
      <c r="K57" t="str">
        <v>Ensemble des produits du sciage</v>
      </c>
      <c r="L57" s="4">
        <v>0.40097799511002452</v>
      </c>
    </row>
    <row r="58" spans="1:12">
      <c r="A58">
        <v>10764176</v>
      </c>
      <c r="B58" t="s">
        <v>128</v>
      </c>
      <c r="C58" s="20">
        <v>0.58406196623634576</v>
      </c>
      <c r="J58">
        <v>10764223</v>
      </c>
      <c r="K58" t="str">
        <v>Moteurs, génératrices, transfo. électr., matér. distrib., cmde électr.</v>
      </c>
      <c r="L58" s="4">
        <v>0.38652652259332032</v>
      </c>
    </row>
    <row r="59" spans="1:12">
      <c r="A59" s="33">
        <v>10764149</v>
      </c>
      <c r="B59" t="s">
        <v>258</v>
      </c>
      <c r="C59" s="20">
        <v>0.49897552657973931</v>
      </c>
      <c r="J59">
        <v>10763871</v>
      </c>
      <c r="K59" t="str">
        <v>Produits de voierie en béton</v>
      </c>
      <c r="L59" s="4">
        <v>0.38330800821355226</v>
      </c>
    </row>
    <row r="60" spans="1:12">
      <c r="A60">
        <v>10765837</v>
      </c>
      <c r="B60" t="s">
        <v>129</v>
      </c>
      <c r="C60" s="20">
        <v>0.22825178571428562</v>
      </c>
      <c r="J60">
        <v>10764187</v>
      </c>
      <c r="K60" t="str">
        <v>Tubes, tuyaux, profilés creux et accessoires correspondants en acier</v>
      </c>
      <c r="L60" s="4">
        <v>0.38271759082217982</v>
      </c>
    </row>
    <row r="61" spans="1:12">
      <c r="A61">
        <v>10764136</v>
      </c>
      <c r="B61" t="s">
        <v>130</v>
      </c>
      <c r="C61" s="20">
        <v>0.97455182481751823</v>
      </c>
      <c r="J61">
        <v>10763845</v>
      </c>
      <c r="K61" t="str">
        <v>Tubes, tuyaux en matière plastique</v>
      </c>
      <c r="L61" s="4">
        <v>0.3779994939271254</v>
      </c>
    </row>
    <row r="62" spans="1:12">
      <c r="A62">
        <v>10763871</v>
      </c>
      <c r="B62" t="s">
        <v>131</v>
      </c>
      <c r="C62" s="20">
        <v>0.38330800821355226</v>
      </c>
      <c r="J62">
        <v>10764160</v>
      </c>
      <c r="K62" t="str">
        <v>Plaques, feuilles, tubes et profilés en matières plastiques</v>
      </c>
      <c r="L62" s="4">
        <v>0.35045494071146255</v>
      </c>
    </row>
    <row r="63" spans="1:12">
      <c r="A63">
        <v>10764181</v>
      </c>
      <c r="B63" t="s">
        <v>132</v>
      </c>
      <c r="C63" s="20">
        <v>0.22753083247687544</v>
      </c>
      <c r="J63">
        <v>10764301</v>
      </c>
      <c r="K63" t="str">
        <v>Collecte, traitement et élimination des déchets ; récupération de matériaux</v>
      </c>
      <c r="L63" s="4">
        <v>0.33115523535062463</v>
      </c>
    </row>
    <row r="64" spans="1:12">
      <c r="A64">
        <v>10764195</v>
      </c>
      <c r="B64" t="s">
        <v>133</v>
      </c>
      <c r="C64" s="20">
        <v>0.43565897714907509</v>
      </c>
      <c r="J64">
        <v>10764306</v>
      </c>
      <c r="K64" t="str">
        <v>Traitement et élimination des déchets non dangereux</v>
      </c>
      <c r="L64" s="4">
        <v>0.32819641170915959</v>
      </c>
    </row>
    <row r="65" spans="1:12">
      <c r="A65">
        <v>10764172</v>
      </c>
      <c r="B65" t="s">
        <v>134</v>
      </c>
      <c r="C65" s="20">
        <v>0.47625379241516952</v>
      </c>
      <c r="J65">
        <v>10765839</v>
      </c>
      <c r="K65" t="str">
        <v>Tôles quarto et autres produits plats en aciers non alliés de qualité</v>
      </c>
      <c r="L65" s="4">
        <v>0.30580837343599621</v>
      </c>
    </row>
    <row r="66" spans="1:12">
      <c r="A66" s="159">
        <v>10766292</v>
      </c>
      <c r="B66" t="s">
        <v>266</v>
      </c>
      <c r="C66" s="20">
        <v>0.43463575183044312</v>
      </c>
      <c r="J66">
        <v>10764179</v>
      </c>
      <c r="K66" t="str">
        <v>Éléments en béton pour la construction</v>
      </c>
      <c r="L66" s="4">
        <v>0.28893154084798334</v>
      </c>
    </row>
    <row r="67" spans="1:12">
      <c r="A67" s="33">
        <v>10764101</v>
      </c>
      <c r="B67" t="s">
        <v>261</v>
      </c>
      <c r="C67" s="20">
        <v>0.26953222979552094</v>
      </c>
      <c r="J67">
        <v>10764101</v>
      </c>
      <c r="K67" t="str">
        <v>Autres textiles</v>
      </c>
      <c r="L67" s="4">
        <v>0.26953222979552094</v>
      </c>
    </row>
    <row r="68" spans="1:12">
      <c r="A68">
        <v>10764143</v>
      </c>
      <c r="B68" t="s">
        <v>135</v>
      </c>
      <c r="C68" s="20">
        <v>0.54309271332694165</v>
      </c>
      <c r="J68">
        <v>10766236</v>
      </c>
      <c r="K68" t="str">
        <v>Barres crénelées ou nervurées pour béton armé</v>
      </c>
      <c r="L68" s="4">
        <v>0.26804366197183116</v>
      </c>
    </row>
    <row r="69" spans="1:12">
      <c r="A69">
        <v>10764187</v>
      </c>
      <c r="B69" t="s">
        <v>136</v>
      </c>
      <c r="C69" s="20">
        <v>0.38271759082217982</v>
      </c>
      <c r="J69">
        <v>10765500</v>
      </c>
      <c r="K69" t="str">
        <v>Sables et granulats</v>
      </c>
      <c r="L69" s="4">
        <v>0.26169696969696976</v>
      </c>
    </row>
    <row r="70" spans="1:12">
      <c r="A70">
        <v>10764179</v>
      </c>
      <c r="B70" t="s">
        <v>137</v>
      </c>
      <c r="C70" s="20">
        <v>0.28893154084798334</v>
      </c>
      <c r="J70">
        <v>10764291</v>
      </c>
      <c r="K70" t="str">
        <v>Électricité vendue aux entreprises consommatrices finales</v>
      </c>
      <c r="L70" s="4">
        <v>0.24572691244239642</v>
      </c>
    </row>
    <row r="71" spans="1:12">
      <c r="A71">
        <v>10763930</v>
      </c>
      <c r="B71" t="s">
        <v>138</v>
      </c>
      <c r="C71" s="20">
        <v>0.60124929577464781</v>
      </c>
      <c r="J71">
        <v>10765837</v>
      </c>
      <c r="K71" t="str">
        <v>Acier pour la construction</v>
      </c>
      <c r="L71" s="4">
        <v>0.22825178571428562</v>
      </c>
    </row>
    <row r="72" spans="1:12">
      <c r="A72">
        <v>10764223</v>
      </c>
      <c r="B72" t="s">
        <v>139</v>
      </c>
      <c r="C72" s="20">
        <v>0.38652652259332032</v>
      </c>
      <c r="J72" t="str">
        <v>001711009</v>
      </c>
      <c r="K72" t="str">
        <v>Matériel</v>
      </c>
      <c r="L72" s="4">
        <v>0.2276657060518732</v>
      </c>
    </row>
    <row r="73" spans="1:12">
      <c r="A73">
        <v>10764224</v>
      </c>
      <c r="B73" t="s">
        <v>140</v>
      </c>
      <c r="C73" s="20">
        <v>0.52780536246276077</v>
      </c>
      <c r="J73">
        <v>10764181</v>
      </c>
      <c r="K73" t="str">
        <v>Mortiers et bétons secs</v>
      </c>
      <c r="L73" s="4">
        <v>0.22753083247687544</v>
      </c>
    </row>
    <row r="74" spans="1:12">
      <c r="A74">
        <v>10764228</v>
      </c>
      <c r="B74" t="s">
        <v>141</v>
      </c>
      <c r="C74" s="20">
        <v>6.6132098765432135E-2</v>
      </c>
      <c r="J74" t="str">
        <v>001711943</v>
      </c>
      <c r="K74" t="str">
        <v>Transports routiers</v>
      </c>
      <c r="L74" s="4">
        <v>0.2234848484848484</v>
      </c>
    </row>
    <row r="75" spans="1:12">
      <c r="A75">
        <v>10764834</v>
      </c>
      <c r="B75" t="s">
        <v>142</v>
      </c>
      <c r="C75" s="20">
        <v>-0.1798905660377359</v>
      </c>
      <c r="J75">
        <v>8308500</v>
      </c>
      <c r="K75" t="str">
        <v>Travail</v>
      </c>
      <c r="L75" s="4">
        <v>0.2139219015280136</v>
      </c>
    </row>
    <row r="76" spans="1:12">
      <c r="A76">
        <v>10763825</v>
      </c>
      <c r="B76" t="s">
        <v>143</v>
      </c>
      <c r="C76" s="20">
        <v>0.42451232091690549</v>
      </c>
      <c r="J76" t="str">
        <v>001565195</v>
      </c>
      <c r="K76" t="str">
        <v>Travail activités spécialisées</v>
      </c>
      <c r="L76" s="4">
        <v>0.20069504778453506</v>
      </c>
    </row>
    <row r="77" spans="1:12">
      <c r="A77">
        <v>10763881</v>
      </c>
      <c r="B77" t="s">
        <v>144</v>
      </c>
      <c r="C77" s="20">
        <v>0.19768239861949954</v>
      </c>
      <c r="J77">
        <v>10763881</v>
      </c>
      <c r="K77" t="str">
        <v>Produits sidérurgiques en acier non allié</v>
      </c>
      <c r="L77" s="4">
        <v>0.19768239861949954</v>
      </c>
    </row>
    <row r="78" spans="1:12">
      <c r="A78">
        <v>10765839</v>
      </c>
      <c r="B78" t="s">
        <v>145</v>
      </c>
      <c r="C78" s="20">
        <v>0.30580837343599621</v>
      </c>
      <c r="J78" t="str">
        <v>001711011</v>
      </c>
      <c r="K78" t="str">
        <v>Frais divers</v>
      </c>
      <c r="L78" s="4">
        <v>0.1891625615763548</v>
      </c>
    </row>
    <row r="79" spans="1:12">
      <c r="A79">
        <v>10764306</v>
      </c>
      <c r="B79" t="s">
        <v>148</v>
      </c>
      <c r="C79" s="20">
        <v>0.32819641170915959</v>
      </c>
      <c r="J79">
        <v>10764228</v>
      </c>
      <c r="K79" t="str">
        <v>Appareils d'éclairage électrique</v>
      </c>
      <c r="L79" s="4">
        <v>6.6132098765432135E-2</v>
      </c>
    </row>
    <row r="80" spans="1:12">
      <c r="A80">
        <v>10764301</v>
      </c>
      <c r="B80" t="s">
        <v>149</v>
      </c>
      <c r="C80" s="20">
        <v>0.33115523535062463</v>
      </c>
      <c r="J80">
        <v>10764834</v>
      </c>
      <c r="K80" t="str">
        <v>Câbles de fibres optiques</v>
      </c>
      <c r="L80" s="4">
        <v>-0.1798905660377359</v>
      </c>
    </row>
    <row r="81" spans="3:43">
      <c r="C81" s="20"/>
      <c r="L81" s="4"/>
    </row>
    <row r="82" spans="3:43">
      <c r="C82" s="20"/>
      <c r="L82" s="4"/>
    </row>
    <row r="84" spans="3:43">
      <c r="C84">
        <f>('CUMULS INDICES'!B205/'CUMULS INDICES'!B204)-1</f>
        <v>0.2276657060518732</v>
      </c>
      <c r="D84">
        <f>('CUMULS INDICES'!C205/'CUMULS INDICES'!C204)-1</f>
        <v>0.2139219015280136</v>
      </c>
      <c r="E84">
        <f>('CUMULS INDICES'!D205/'CUMULS INDICES'!D204)-1</f>
        <v>0.20069504778453506</v>
      </c>
      <c r="F84">
        <f>('CUMULS INDICES'!E205/'CUMULS INDICES'!E204)-1</f>
        <v>1.0722926873680283</v>
      </c>
      <c r="G84">
        <f>('CUMULS INDICES'!F205/'CUMULS INDICES'!F204)-1</f>
        <v>0.51815561959654155</v>
      </c>
      <c r="H84">
        <f>('CUMULS INDICES'!G205/'CUMULS INDICES'!G204)-1</f>
        <v>0.1891625615763548</v>
      </c>
      <c r="I84">
        <f>('CUMULS INDICES'!H205/'CUMULS INDICES'!H204)-1</f>
        <v>0.2234848484848484</v>
      </c>
      <c r="J84">
        <f>('CUMULS INDICES'!I205/'CUMULS INDICES'!I204)-1</f>
        <v>0.24572691244239642</v>
      </c>
      <c r="K84">
        <f>('CUMULS INDICES'!J205/'CUMULS INDICES'!J204)-1</f>
        <v>1.251010685483871</v>
      </c>
      <c r="L84">
        <f>('CUMULS INDICES'!K205/'CUMULS INDICES'!K204)-1</f>
        <v>0.87159937795929432</v>
      </c>
      <c r="M84">
        <f>('CUMULS INDICES'!L205/'CUMULS INDICES'!L204)-1</f>
        <v>0.3779994939271254</v>
      </c>
      <c r="N84">
        <f>('CUMULS INDICES'!M205/'CUMULS INDICES'!M204)-1</f>
        <v>0.40097799511002452</v>
      </c>
      <c r="O84">
        <f>('CUMULS INDICES'!N205/'CUMULS INDICES'!N204)-1</f>
        <v>0.45791867469879555</v>
      </c>
      <c r="P84">
        <f>('CUMULS INDICES'!O205/'CUMULS INDICES'!O204)-1</f>
        <v>0.26804366197183116</v>
      </c>
      <c r="Q84">
        <f>('CUMULS INDICES'!P205/'CUMULS INDICES'!P204)-1</f>
        <v>0.26169696969696976</v>
      </c>
      <c r="R84">
        <f>('CUMULS INDICES'!Q205/'CUMULS INDICES'!Q204)-1</f>
        <v>0.35045494071146255</v>
      </c>
      <c r="S84">
        <f>('CUMULS INDICES'!R205/'CUMULS INDICES'!R204)-1</f>
        <v>0.58406196623634576</v>
      </c>
      <c r="T84">
        <f>('CUMULS INDICES'!S205/'CUMULS INDICES'!S204)-1</f>
        <v>0.49897552657973931</v>
      </c>
      <c r="U84">
        <f>('CUMULS INDICES'!T205/'CUMULS INDICES'!T204)-1</f>
        <v>0.22825178571428562</v>
      </c>
      <c r="V84">
        <f>('CUMULS INDICES'!U205/'CUMULS INDICES'!U204)-1</f>
        <v>0.97455182481751823</v>
      </c>
      <c r="W84">
        <f>('CUMULS INDICES'!V205/'CUMULS INDICES'!V204)-1</f>
        <v>0.38330800821355226</v>
      </c>
      <c r="X84">
        <f>('CUMULS INDICES'!W205/'CUMULS INDICES'!W204)-1</f>
        <v>0.22753083247687544</v>
      </c>
      <c r="Y84">
        <f>('CUMULS INDICES'!X205/'CUMULS INDICES'!X204)-1</f>
        <v>0.43565897714907509</v>
      </c>
      <c r="Z84">
        <f>('CUMULS INDICES'!Y205/'CUMULS INDICES'!Y204)-1</f>
        <v>0.47625379241516952</v>
      </c>
      <c r="AA84">
        <f>('CUMULS INDICES'!Z205/'CUMULS INDICES'!Z204)-1</f>
        <v>0.43463575183044312</v>
      </c>
      <c r="AB84">
        <f>('CUMULS INDICES'!AA205/'CUMULS INDICES'!AA204)-1</f>
        <v>0.26953222979552094</v>
      </c>
      <c r="AC84">
        <f>('CUMULS INDICES'!AB205/'CUMULS INDICES'!AB204)-1</f>
        <v>0.54309271332694165</v>
      </c>
      <c r="AD84">
        <f>('CUMULS INDICES'!AC205/'CUMULS INDICES'!AC204)-1</f>
        <v>0.38271759082217982</v>
      </c>
      <c r="AE84">
        <f>('CUMULS INDICES'!AD205/'CUMULS INDICES'!AD204)-1</f>
        <v>0.28893154084798334</v>
      </c>
      <c r="AF84">
        <f>('CUMULS INDICES'!AE205/'CUMULS INDICES'!AE204)-1</f>
        <v>0.60124929577464781</v>
      </c>
      <c r="AG84">
        <f>('CUMULS INDICES'!AF205/'CUMULS INDICES'!AF204)-1</f>
        <v>0.38652652259332032</v>
      </c>
      <c r="AH84">
        <f>('CUMULS INDICES'!AG205/'CUMULS INDICES'!AG204)-1</f>
        <v>0.52780536246276077</v>
      </c>
      <c r="AI84">
        <f>('CUMULS INDICES'!AH205/'CUMULS INDICES'!AH204)-1</f>
        <v>6.6132098765432135E-2</v>
      </c>
      <c r="AJ84">
        <f>('CUMULS INDICES'!AI205/'CUMULS INDICES'!AI204)-1</f>
        <v>-0.1798905660377359</v>
      </c>
      <c r="AK84">
        <f>('CUMULS INDICES'!AJ205/'CUMULS INDICES'!AJ204)-1</f>
        <v>0.42451232091690549</v>
      </c>
      <c r="AL84">
        <f>('CUMULS INDICES'!AK205/'CUMULS INDICES'!AK204)-1</f>
        <v>0.19768239861949954</v>
      </c>
      <c r="AM84">
        <f>('CUMULS INDICES'!AL205/'CUMULS INDICES'!AL204)-1</f>
        <v>0.30580837343599621</v>
      </c>
      <c r="AN84">
        <f>('CUMULS INDICES'!AM205/'CUMULS INDICES'!AM204)-1</f>
        <v>0.32819641170915959</v>
      </c>
      <c r="AO84">
        <f>('CUMULS INDICES'!AN205/'CUMULS INDICES'!AN204)-1</f>
        <v>0.33115523535062463</v>
      </c>
      <c r="AP84" t="e">
        <f>('CUMULS INDICES'!AO205/'CUMULS INDICES'!AO204)-1</f>
        <v>#DIV/0!</v>
      </c>
      <c r="AQ84" t="e">
        <f>('CUMULS INDICES'!AP205/'CUMULS INDICES'!AP204)-1</f>
        <v>#DIV/0!</v>
      </c>
    </row>
  </sheetData>
  <mergeCells count="6">
    <mergeCell ref="A1:L1"/>
    <mergeCell ref="A6:C6"/>
    <mergeCell ref="J6:L6"/>
    <mergeCell ref="A38:L38"/>
    <mergeCell ref="A41:C41"/>
    <mergeCell ref="J41:L41"/>
  </mergeCell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D1111-CBE2-4345-B637-F9D87DC19C5C}">
  <sheetPr codeName="Feuil24">
    <tabColor rgb="FF92D050"/>
  </sheetPr>
  <dimension ref="A1:AR254"/>
  <sheetViews>
    <sheetView workbookViewId="0">
      <selection activeCell="B9" sqref="B9"/>
    </sheetView>
  </sheetViews>
  <sheetFormatPr baseColWidth="10" defaultRowHeight="15"/>
  <cols>
    <col min="1" max="1" width="25.7109375" customWidth="1"/>
    <col min="2" max="2" width="11.5703125" customWidth="1"/>
    <col min="3" max="3" width="74.85546875" bestFit="1" customWidth="1"/>
    <col min="11" max="11" width="26.28515625" customWidth="1"/>
  </cols>
  <sheetData>
    <row r="1" spans="1:13">
      <c r="A1" s="249" t="s">
        <v>246</v>
      </c>
      <c r="B1" s="250"/>
      <c r="C1" s="250"/>
      <c r="D1" s="250"/>
      <c r="E1" s="250"/>
      <c r="F1" s="250"/>
      <c r="G1" s="250"/>
    </row>
    <row r="2" spans="1:13">
      <c r="A2" s="250"/>
      <c r="B2" s="250"/>
      <c r="C2" s="250"/>
      <c r="D2" s="250"/>
      <c r="E2" s="250"/>
      <c r="F2" s="250"/>
      <c r="G2" s="250"/>
    </row>
    <row r="4" spans="1:13">
      <c r="A4" s="248" t="s">
        <v>247</v>
      </c>
      <c r="B4" s="251"/>
      <c r="C4" s="251"/>
      <c r="D4" s="251"/>
      <c r="E4" s="251"/>
    </row>
    <row r="6" spans="1:13">
      <c r="A6" s="3"/>
      <c r="B6" s="242" t="s">
        <v>187</v>
      </c>
      <c r="C6" s="242"/>
      <c r="D6" s="242"/>
      <c r="E6" s="242"/>
      <c r="J6" s="242" t="s">
        <v>188</v>
      </c>
      <c r="K6" s="242"/>
      <c r="L6" s="242"/>
      <c r="M6" s="242"/>
    </row>
    <row r="7" spans="1:13">
      <c r="D7" t="str">
        <f>'A MODIFIER'!E13</f>
        <v xml:space="preserve">*12 mois </v>
      </c>
      <c r="E7" t="str">
        <f>'A MODIFIER'!E14</f>
        <v>*24 mois</v>
      </c>
      <c r="L7" t="str">
        <f>'A MODIFIER'!E13</f>
        <v xml:space="preserve">*12 mois </v>
      </c>
      <c r="M7" t="str">
        <f>'A MODIFIER'!E14</f>
        <v>*24 mois</v>
      </c>
    </row>
    <row r="8" spans="1:13">
      <c r="A8" s="34" t="s">
        <v>84</v>
      </c>
      <c r="B8" s="32" t="s">
        <v>47</v>
      </c>
      <c r="C8" s="136" t="s">
        <v>115</v>
      </c>
      <c r="D8" s="4" cm="1">
        <f t="array" ref="D8:D46">TRANSPOSE(D50:AP50)</f>
        <v>1.2919552477357321E-2</v>
      </c>
      <c r="E8" s="4" cm="1">
        <f t="array" ref="E8:E46">TRANSPOSE(D51:AP51)</f>
        <v>2.4587403166049127E-2</v>
      </c>
      <c r="I8" t="str" cm="1">
        <f t="array" ref="I8:M46">_xlfn._xlws.SORT(A8:E46,4,-1,FALSE)</f>
        <v>https://www.insee.fr/fr/statistiques/serie/010758171#Tableau</v>
      </c>
      <c r="J8" t="str">
        <v>010777519</v>
      </c>
      <c r="K8" t="str">
        <v>GNR pour les Travaux Publics</v>
      </c>
      <c r="L8" s="4">
        <v>0.18659065265158259</v>
      </c>
      <c r="M8" s="4">
        <v>0.17280037565299056</v>
      </c>
    </row>
    <row r="9" spans="1:13">
      <c r="A9" s="37" t="s">
        <v>359</v>
      </c>
      <c r="B9">
        <v>8899388</v>
      </c>
      <c r="C9" t="s">
        <v>116</v>
      </c>
      <c r="D9" s="4">
        <v>3.4381679389312803E-2</v>
      </c>
      <c r="E9" s="4">
        <v>6.6893424036281068E-2</v>
      </c>
      <c r="I9" t="str">
        <v>https://www.fntp.fr/sites/default/files/content/indice_gazole_htt.pdf</v>
      </c>
      <c r="J9" t="str">
        <v>Gazole routier HTT</v>
      </c>
      <c r="K9" t="str">
        <v>Gazole routier HTT</v>
      </c>
      <c r="L9" s="4">
        <v>0.12477621970155117</v>
      </c>
      <c r="M9" s="4">
        <v>-2.6015765188935114E-2</v>
      </c>
    </row>
    <row r="10" spans="1:13">
      <c r="A10" s="34" t="s">
        <v>85</v>
      </c>
      <c r="B10" s="32" t="s">
        <v>49</v>
      </c>
      <c r="C10" t="s">
        <v>117</v>
      </c>
      <c r="D10" s="4">
        <v>2.2233262948702093E-2</v>
      </c>
      <c r="E10" s="4">
        <v>4.8942136120316171E-2</v>
      </c>
      <c r="I10" t="str">
        <v>https://www.insee.fr/fr/statistiques/serie/010534698</v>
      </c>
      <c r="J10" t="str">
        <v>010764224</v>
      </c>
      <c r="K10" t="str">
        <v>Matériel de distribution et de commande électrique</v>
      </c>
      <c r="L10" s="4">
        <v>9.089648478125234E-2</v>
      </c>
      <c r="M10" s="4">
        <v>0.11636157230026956</v>
      </c>
    </row>
    <row r="11" spans="1:13">
      <c r="A11" s="33" t="s">
        <v>253</v>
      </c>
      <c r="B11" s="32" t="s">
        <v>317</v>
      </c>
      <c r="C11" t="s">
        <v>316</v>
      </c>
      <c r="D11" s="4">
        <v>0.18659065265158259</v>
      </c>
      <c r="E11" s="4">
        <v>0.17280037565299056</v>
      </c>
      <c r="I11" t="str">
        <v>https://www.insee.fr/fr/statistiques/serie/011816634</v>
      </c>
      <c r="J11" t="str">
        <v>011816634</v>
      </c>
      <c r="K11" t="str">
        <v>Gazole</v>
      </c>
      <c r="L11" s="4">
        <v>6.8357911551350847E-2</v>
      </c>
      <c r="M11" s="4">
        <v>-1.7380306862759931E-2</v>
      </c>
    </row>
    <row r="12" spans="1:13">
      <c r="A12" s="37" t="s">
        <v>357</v>
      </c>
      <c r="B12" s="32" t="s">
        <v>358</v>
      </c>
      <c r="C12" t="s">
        <v>118</v>
      </c>
      <c r="D12" s="4">
        <v>6.8357911551350847E-2</v>
      </c>
      <c r="E12" s="4">
        <v>-1.7380306862759931E-2</v>
      </c>
      <c r="I12" t="str">
        <v>https://www.insee.fr/fr/statistiques/serie/010534696</v>
      </c>
      <c r="J12" t="str">
        <v>010764223</v>
      </c>
      <c r="K12" t="str">
        <v>Moteurs, génératrices, transfo. électr., matér. distrib., cmde électr.</v>
      </c>
      <c r="L12" s="4">
        <v>6.3915628539071401E-2</v>
      </c>
      <c r="M12" s="4">
        <v>8.0088446144279901E-2</v>
      </c>
    </row>
    <row r="13" spans="1:13">
      <c r="A13" s="34" t="s">
        <v>87</v>
      </c>
      <c r="B13" s="32" t="s">
        <v>51</v>
      </c>
      <c r="C13" t="s">
        <v>119</v>
      </c>
      <c r="D13" s="4">
        <v>6.9449316029466246E-3</v>
      </c>
      <c r="E13" s="4">
        <v>1.4488656442151804E-2</v>
      </c>
      <c r="I13" t="str">
        <v>https://www.insee.fr/fr/statistiques/8899388</v>
      </c>
      <c r="J13">
        <v>8899388</v>
      </c>
      <c r="K13" t="str">
        <v>Travail</v>
      </c>
      <c r="L13" s="4">
        <v>3.4381679389312803E-2</v>
      </c>
      <c r="M13" s="4">
        <v>6.6893424036281068E-2</v>
      </c>
    </row>
    <row r="14" spans="1:13">
      <c r="A14" s="34" t="s">
        <v>88</v>
      </c>
      <c r="B14" s="32" t="s">
        <v>52</v>
      </c>
      <c r="C14" t="s">
        <v>120</v>
      </c>
      <c r="D14" s="4">
        <v>1.5639683178950259E-2</v>
      </c>
      <c r="E14" s="4">
        <v>3.7720320965640042E-2</v>
      </c>
      <c r="I14" t="str">
        <v>https://www.insee.fr/fr/statistiques/serie/010534330</v>
      </c>
      <c r="J14" t="str">
        <v>010763930</v>
      </c>
      <c r="K14" t="str">
        <v>Fils et câbles d'énergie</v>
      </c>
      <c r="L14" s="4">
        <v>3.4277395447326997E-2</v>
      </c>
      <c r="M14" s="4">
        <v>0.10177300225070129</v>
      </c>
    </row>
    <row r="15" spans="1:13">
      <c r="A15" s="34" t="s">
        <v>89</v>
      </c>
      <c r="B15" s="186" t="s">
        <v>320</v>
      </c>
      <c r="C15" t="s">
        <v>121</v>
      </c>
      <c r="D15" s="4">
        <v>-0.1348639556158886</v>
      </c>
      <c r="E15" s="4">
        <v>-0.31101179718770255</v>
      </c>
      <c r="I15" t="str">
        <v>https://www.insee.fr/fr/statistiques/serie/010534575</v>
      </c>
      <c r="J15" t="str">
        <v> 010764116</v>
      </c>
      <c r="K15" t="str">
        <v>Ensemble des produits du sciage</v>
      </c>
      <c r="L15" s="4">
        <v>3.3678952546734031E-2</v>
      </c>
      <c r="M15" s="4">
        <v>4.3073163280891835E-2</v>
      </c>
    </row>
    <row r="16" spans="1:13">
      <c r="A16" s="158" t="s">
        <v>265</v>
      </c>
      <c r="B16" s="186" t="s">
        <v>321</v>
      </c>
      <c r="C16" t="s">
        <v>263</v>
      </c>
      <c r="D16" s="4">
        <v>-0.10571207030240359</v>
      </c>
      <c r="E16" s="4">
        <v>7.1069226828762044E-2</v>
      </c>
      <c r="I16" t="str">
        <v>https://www.insee.fr/fr/statistiques/serie/010534646</v>
      </c>
      <c r="J16" t="str">
        <v>010764180</v>
      </c>
      <c r="K16" t="str">
        <v>Béton prêt à l'emploi</v>
      </c>
      <c r="L16" s="4">
        <v>2.697830146159319E-2</v>
      </c>
      <c r="M16" s="4">
        <v>3.213830650022298E-2</v>
      </c>
    </row>
    <row r="17" spans="1:13" ht="30">
      <c r="A17" s="34" t="s">
        <v>90</v>
      </c>
      <c r="B17" s="32" t="s">
        <v>55</v>
      </c>
      <c r="C17" t="s">
        <v>55</v>
      </c>
      <c r="D17" s="4">
        <v>0.12477621970155117</v>
      </c>
      <c r="E17" s="4">
        <v>-2.6015765188935114E-2</v>
      </c>
      <c r="I17" t="str">
        <v>https://www.insee.fr/fr/statistiques/serie/010534554</v>
      </c>
      <c r="J17" t="str">
        <v>010764101</v>
      </c>
      <c r="K17" t="str">
        <v>Autres textiles</v>
      </c>
      <c r="L17" s="4">
        <v>2.4645583424209416E-2</v>
      </c>
      <c r="M17" s="4">
        <v>3.9085477464771534E-2</v>
      </c>
    </row>
    <row r="18" spans="1:13">
      <c r="A18" s="34" t="s">
        <v>91</v>
      </c>
      <c r="B18" s="32" t="s">
        <v>322</v>
      </c>
      <c r="C18" t="s">
        <v>122</v>
      </c>
      <c r="D18" s="4">
        <v>6.8181818181818343E-3</v>
      </c>
      <c r="E18" s="4">
        <v>-5.9756499967049237E-2</v>
      </c>
      <c r="I18" t="str">
        <v>https://www.insee.fr/fr/statistiques/serie/001565195</v>
      </c>
      <c r="J18" t="str">
        <v>001565195</v>
      </c>
      <c r="K18" t="str">
        <v>Travail activités spécialisées</v>
      </c>
      <c r="L18" s="4">
        <v>2.2233262948702093E-2</v>
      </c>
      <c r="M18" s="4">
        <v>4.8942136120316171E-2</v>
      </c>
    </row>
    <row r="19" spans="1:13">
      <c r="A19" s="34" t="s">
        <v>92</v>
      </c>
      <c r="B19" s="186" t="s">
        <v>283</v>
      </c>
      <c r="C19" t="s">
        <v>123</v>
      </c>
      <c r="D19" s="4">
        <v>3.3678952546734031E-2</v>
      </c>
      <c r="E19" s="4">
        <v>4.3073163280891835E-2</v>
      </c>
      <c r="I19" t="str">
        <v>https://www.insee.fr/fr/statistiques/serie/010534642</v>
      </c>
      <c r="J19" t="str">
        <v>010764176</v>
      </c>
      <c r="K19" t="str">
        <v>Ciment, chaux et plâtre</v>
      </c>
      <c r="L19" s="4">
        <v>1.839067123049265E-2</v>
      </c>
      <c r="M19" s="4">
        <v>2.9390545221777309E-2</v>
      </c>
    </row>
    <row r="20" spans="1:13">
      <c r="A20" s="34" t="s">
        <v>93</v>
      </c>
      <c r="B20" s="186" t="s">
        <v>323</v>
      </c>
      <c r="C20" t="s">
        <v>124</v>
      </c>
      <c r="D20" s="4">
        <v>2.697830146159319E-2</v>
      </c>
      <c r="E20" s="4">
        <v>3.213830650022298E-2</v>
      </c>
      <c r="I20" t="str">
        <v>https://www.insee.fr/fr/statistiques/serie/010764306</v>
      </c>
      <c r="J20" t="str">
        <v>010764306</v>
      </c>
      <c r="K20" t="str">
        <v>Traitement et élimination des déchets non dangereux</v>
      </c>
      <c r="L20" s="4">
        <v>1.659394893069166E-2</v>
      </c>
      <c r="M20" s="4">
        <v>4.6986393385722192E-2</v>
      </c>
    </row>
    <row r="21" spans="1:13">
      <c r="A21" s="34" t="s">
        <v>94</v>
      </c>
      <c r="B21" s="186" t="s">
        <v>324</v>
      </c>
      <c r="C21" t="s">
        <v>125</v>
      </c>
      <c r="D21" s="4">
        <v>3.8947468414554098E-3</v>
      </c>
      <c r="E21" s="4">
        <v>-1.3787653748020601E-2</v>
      </c>
      <c r="I21" t="str">
        <v>https://www.insee.fr/fr/statistiques/serie/001711943</v>
      </c>
      <c r="J21" t="str">
        <v>001711943</v>
      </c>
      <c r="K21" t="str">
        <v>Transports routiers</v>
      </c>
      <c r="L21" s="4">
        <v>1.5639683178950259E-2</v>
      </c>
      <c r="M21" s="4">
        <v>3.7720320965640042E-2</v>
      </c>
    </row>
    <row r="22" spans="1:13">
      <c r="A22" s="34" t="s">
        <v>95</v>
      </c>
      <c r="B22" s="195" t="s">
        <v>319</v>
      </c>
      <c r="C22" t="s">
        <v>126</v>
      </c>
      <c r="D22" s="4">
        <v>1.5457960127130743E-2</v>
      </c>
      <c r="E22" s="4">
        <v>9.9288416713951833E-3</v>
      </c>
      <c r="I22" t="str">
        <v>https://www.insee.fr/fr/statistiques/serie/010536067</v>
      </c>
      <c r="J22" t="str">
        <v>010765500</v>
      </c>
      <c r="K22" t="str">
        <v>Sables et granulats</v>
      </c>
      <c r="L22" s="4">
        <v>1.5457960127130743E-2</v>
      </c>
      <c r="M22" s="4">
        <v>9.9288416713951833E-3</v>
      </c>
    </row>
    <row r="23" spans="1:13">
      <c r="A23" s="34" t="s">
        <v>96</v>
      </c>
      <c r="B23" s="32" t="s">
        <v>325</v>
      </c>
      <c r="C23" t="s">
        <v>127</v>
      </c>
      <c r="D23" s="4">
        <v>-4.7144292449186054E-3</v>
      </c>
      <c r="E23" s="4">
        <v>-1.6285469843171585E-2</v>
      </c>
      <c r="I23" t="str">
        <v>https://www.insee.fr/fr/statistiques/serie/001711009</v>
      </c>
      <c r="J23" t="str">
        <v>001711009</v>
      </c>
      <c r="K23" t="str">
        <v>Matériel</v>
      </c>
      <c r="L23" s="4">
        <v>1.2919552477357321E-2</v>
      </c>
      <c r="M23" s="4">
        <v>2.4587403166049127E-2</v>
      </c>
    </row>
    <row r="24" spans="1:13">
      <c r="A24" s="34" t="s">
        <v>97</v>
      </c>
      <c r="B24" s="32" t="s">
        <v>326</v>
      </c>
      <c r="C24" t="s">
        <v>128</v>
      </c>
      <c r="D24" s="4">
        <v>1.839067123049265E-2</v>
      </c>
      <c r="E24" s="4">
        <v>2.9390545221777309E-2</v>
      </c>
      <c r="I24" t="str">
        <v>https://www.insee.fr/fr/statistiques/serie/010534662</v>
      </c>
      <c r="J24" t="str">
        <v>010764195</v>
      </c>
      <c r="K24" t="str">
        <v>Travaux de fonderie de fonte</v>
      </c>
      <c r="L24" s="4">
        <v>8.7850588924320849E-3</v>
      </c>
      <c r="M24" s="4">
        <v>-4.7187518970062126E-3</v>
      </c>
    </row>
    <row r="25" spans="1:13">
      <c r="A25" s="34" t="s">
        <v>257</v>
      </c>
      <c r="B25" s="32" t="s">
        <v>327</v>
      </c>
      <c r="C25" t="s">
        <v>258</v>
      </c>
      <c r="D25" s="4">
        <v>6.040015100037488E-3</v>
      </c>
      <c r="E25" s="4">
        <v>-2.6590033012672487E-2</v>
      </c>
      <c r="I25" t="str">
        <v>https://www.insee.fr/fr/statistiques/serie/010760506</v>
      </c>
      <c r="J25" t="str">
        <v>010766292</v>
      </c>
      <c r="K25" t="str">
        <v>Réseaux d’assainissement</v>
      </c>
      <c r="L25" s="4">
        <v>7.3371858970199266E-3</v>
      </c>
      <c r="M25" s="4">
        <v>1.3971047641297529E-2</v>
      </c>
    </row>
    <row r="26" spans="1:13">
      <c r="A26" s="34" t="s">
        <v>98</v>
      </c>
      <c r="B26" s="32" t="s">
        <v>328</v>
      </c>
      <c r="C26" t="s">
        <v>129</v>
      </c>
      <c r="D26" s="4">
        <v>-5.2765647743813204E-3</v>
      </c>
      <c r="E26" s="4">
        <v>-3.4384304975023761E-2</v>
      </c>
      <c r="I26" t="str">
        <v>https://www.insee.fr/fr/statistiques/serie/010534638</v>
      </c>
      <c r="J26" t="str">
        <v>010764172</v>
      </c>
      <c r="K26" t="str">
        <v>Tuiles, briques et produits de construction en terre cuite</v>
      </c>
      <c r="L26" s="4">
        <v>7.3159030942673287E-3</v>
      </c>
      <c r="M26" s="4">
        <v>1.0082133868522414E-2</v>
      </c>
    </row>
    <row r="27" spans="1:13">
      <c r="A27" s="34" t="s">
        <v>99</v>
      </c>
      <c r="B27" s="32" t="s">
        <v>329</v>
      </c>
      <c r="C27" t="s">
        <v>130</v>
      </c>
      <c r="D27" s="4">
        <v>-8.5351250665247402E-2</v>
      </c>
      <c r="E27" s="4">
        <v>-8.2505025766420048E-2</v>
      </c>
      <c r="I27" t="str">
        <v>https://www.insee.fr/fr/statistiques/serie/001711011</v>
      </c>
      <c r="J27" t="str">
        <v>001711011</v>
      </c>
      <c r="K27" t="str">
        <v>Frais divers</v>
      </c>
      <c r="L27" s="4">
        <v>6.9449316029466246E-3</v>
      </c>
      <c r="M27" s="4">
        <v>1.4488656442151804E-2</v>
      </c>
    </row>
    <row r="28" spans="1:13">
      <c r="A28" s="34" t="s">
        <v>100</v>
      </c>
      <c r="B28" s="32" t="s">
        <v>330</v>
      </c>
      <c r="C28" t="s">
        <v>131</v>
      </c>
      <c r="D28" s="4">
        <v>-2.7221466070386224E-3</v>
      </c>
      <c r="E28" s="4">
        <v>-8.7885325808614301E-3</v>
      </c>
      <c r="I28" t="str">
        <v>https://www.insee.fr/fr/statistiques/serie/010534207</v>
      </c>
      <c r="J28" t="str">
        <v>010763845</v>
      </c>
      <c r="K28" t="str">
        <v>Tubes, tuyaux en matière plastique</v>
      </c>
      <c r="L28" s="4">
        <v>6.8181818181818343E-3</v>
      </c>
      <c r="M28" s="4">
        <v>-5.9756499967049237E-2</v>
      </c>
    </row>
    <row r="29" spans="1:13">
      <c r="A29" s="34" t="s">
        <v>101</v>
      </c>
      <c r="B29" s="32" t="s">
        <v>331</v>
      </c>
      <c r="C29" t="s">
        <v>132</v>
      </c>
      <c r="D29" s="4">
        <v>-1.5218494093773849E-3</v>
      </c>
      <c r="E29" s="4">
        <v>1.004089080144599E-3</v>
      </c>
      <c r="I29" t="str">
        <v>https://www.insee.fr/fr/statistiques/serie/010534613</v>
      </c>
      <c r="J29" t="str">
        <v>010764149</v>
      </c>
      <c r="K29" t="str">
        <v>Autres produits chimiques</v>
      </c>
      <c r="L29" s="4">
        <v>6.040015100037488E-3</v>
      </c>
      <c r="M29" s="4">
        <v>-2.6590033012672487E-2</v>
      </c>
    </row>
    <row r="30" spans="1:13">
      <c r="A30" s="34" t="s">
        <v>102</v>
      </c>
      <c r="B30" s="32" t="s">
        <v>332</v>
      </c>
      <c r="C30" t="s">
        <v>133</v>
      </c>
      <c r="D30" s="4">
        <v>8.7850588924320849E-3</v>
      </c>
      <c r="E30" s="4">
        <v>-4.7187518970062126E-3</v>
      </c>
      <c r="I30" t="str">
        <v>https://www.insee.fr/fr/statistiques/serie/010546545</v>
      </c>
      <c r="J30" t="str">
        <v>010766236</v>
      </c>
      <c r="K30" t="str">
        <v>Barres crénelées ou nervurées pour béton armé</v>
      </c>
      <c r="L30" s="4">
        <v>3.8947468414554098E-3</v>
      </c>
      <c r="M30" s="4">
        <v>-1.3787653748020601E-2</v>
      </c>
    </row>
    <row r="31" spans="1:13">
      <c r="A31" s="34" t="s">
        <v>103</v>
      </c>
      <c r="B31" s="32" t="s">
        <v>333</v>
      </c>
      <c r="C31" t="s">
        <v>134</v>
      </c>
      <c r="D31" s="4">
        <v>7.3159030942673287E-3</v>
      </c>
      <c r="E31" s="4">
        <v>1.0082133868522414E-2</v>
      </c>
      <c r="I31" t="str">
        <v>https://www.insee.fr/fr/statistiques/serie/010534654</v>
      </c>
      <c r="J31" t="str">
        <v>010764187</v>
      </c>
      <c r="K31" t="str">
        <v>Tubes, tuyaux, profilés creux et accessoires correspondants en acier</v>
      </c>
      <c r="L31" s="4">
        <v>2.5111985882992904E-3</v>
      </c>
      <c r="M31" s="4">
        <v>-3.7498293383801728E-2</v>
      </c>
    </row>
    <row r="32" spans="1:13">
      <c r="A32" s="34" t="s">
        <v>267</v>
      </c>
      <c r="B32" s="32" t="s">
        <v>334</v>
      </c>
      <c r="C32" t="s">
        <v>266</v>
      </c>
      <c r="D32" s="4">
        <v>7.3371858970199266E-3</v>
      </c>
      <c r="E32" s="4">
        <v>1.3971047641297529E-2</v>
      </c>
      <c r="I32" t="str">
        <v>https://www.insee.fr/fr/statistiques/serie/010534702</v>
      </c>
      <c r="J32" t="str">
        <v>010764228</v>
      </c>
      <c r="K32" t="str">
        <v>Appareils d'éclairage électrique</v>
      </c>
      <c r="L32" s="4">
        <v>-1.0934937124111865E-3</v>
      </c>
      <c r="M32" s="4">
        <v>-1.6200414241529293E-2</v>
      </c>
    </row>
    <row r="33" spans="1:13">
      <c r="A33" s="34" t="s">
        <v>259</v>
      </c>
      <c r="B33" s="32" t="s">
        <v>335</v>
      </c>
      <c r="C33" t="s">
        <v>261</v>
      </c>
      <c r="D33" s="4">
        <v>2.4645583424209416E-2</v>
      </c>
      <c r="E33" s="4">
        <v>3.9085477464771534E-2</v>
      </c>
      <c r="I33" t="str">
        <v>https://www.insee.fr/fr/statistiques/serie/010534647</v>
      </c>
      <c r="J33" t="str">
        <v>010764181</v>
      </c>
      <c r="K33" t="str">
        <v>Mortiers et bétons secs</v>
      </c>
      <c r="L33" s="4">
        <v>-1.5218494093773849E-3</v>
      </c>
      <c r="M33" s="4">
        <v>1.004089080144599E-3</v>
      </c>
    </row>
    <row r="34" spans="1:13">
      <c r="A34" s="34" t="s">
        <v>104</v>
      </c>
      <c r="B34" s="32" t="s">
        <v>336</v>
      </c>
      <c r="C34" t="s">
        <v>135</v>
      </c>
      <c r="D34" s="4">
        <v>-8.1545825208296785E-3</v>
      </c>
      <c r="E34" s="4">
        <v>-1.4925763036702899E-2</v>
      </c>
      <c r="I34" t="str">
        <v>https://www.insee.fr/fr/statistiques/serie/010764301</v>
      </c>
      <c r="J34" t="str">
        <v>010764301</v>
      </c>
      <c r="K34" t="str">
        <v>Collecte, traitement et élimination des déchets ; récupération de matériaux</v>
      </c>
      <c r="L34" s="4">
        <v>-2.0386590154032325E-3</v>
      </c>
      <c r="M34" s="4">
        <v>3.2160815064002035E-2</v>
      </c>
    </row>
    <row r="35" spans="1:13">
      <c r="A35" s="34" t="s">
        <v>105</v>
      </c>
      <c r="B35" s="32" t="s">
        <v>337</v>
      </c>
      <c r="C35" t="s">
        <v>136</v>
      </c>
      <c r="D35" s="4">
        <v>2.5111985882992904E-3</v>
      </c>
      <c r="E35" s="4">
        <v>-3.7498293383801728E-2</v>
      </c>
      <c r="I35" t="str">
        <v>https://www.insee.fr/fr/statistiques/serie/010534252</v>
      </c>
      <c r="J35" t="str">
        <v>010763871</v>
      </c>
      <c r="K35" t="str">
        <v>Produits de voierie en béton</v>
      </c>
      <c r="L35" s="4">
        <v>-2.7221466070386224E-3</v>
      </c>
      <c r="M35" s="4">
        <v>-8.7885325808614301E-3</v>
      </c>
    </row>
    <row r="36" spans="1:13">
      <c r="A36" s="34" t="s">
        <v>106</v>
      </c>
      <c r="B36" s="32" t="s">
        <v>338</v>
      </c>
      <c r="C36" t="s">
        <v>137</v>
      </c>
      <c r="D36" s="4">
        <v>-5.9403172828289552E-3</v>
      </c>
      <c r="E36" s="4">
        <v>-4.0194890065024858E-2</v>
      </c>
      <c r="I36" t="str">
        <v>https://www.insee.fr/fr/statistiques/serie/010534267</v>
      </c>
      <c r="J36" t="str">
        <v>010763881</v>
      </c>
      <c r="K36" t="str">
        <v>Produits sidérurgiques en acier non allié</v>
      </c>
      <c r="L36" s="4">
        <v>-4.4006336912517652E-3</v>
      </c>
      <c r="M36" s="4">
        <v>-5.4457864232660635E-2</v>
      </c>
    </row>
    <row r="37" spans="1:13">
      <c r="A37" s="34" t="s">
        <v>107</v>
      </c>
      <c r="B37" s="32" t="s">
        <v>339</v>
      </c>
      <c r="C37" t="s">
        <v>138</v>
      </c>
      <c r="D37" s="4">
        <v>3.4277395447326997E-2</v>
      </c>
      <c r="E37" s="4">
        <v>0.10177300225070129</v>
      </c>
      <c r="I37" t="str">
        <v>https://www.insee.fr/fr/statistiques/serie/010534625</v>
      </c>
      <c r="J37" t="str">
        <v>010764160</v>
      </c>
      <c r="K37" t="str">
        <v>Plaques, feuilles, tubes et profilés en matières plastiques</v>
      </c>
      <c r="L37" s="4">
        <v>-4.7144292449186054E-3</v>
      </c>
      <c r="M37" s="4">
        <v>-1.6285469843171585E-2</v>
      </c>
    </row>
    <row r="38" spans="1:13">
      <c r="A38" s="34" t="s">
        <v>108</v>
      </c>
      <c r="B38" s="32" t="s">
        <v>340</v>
      </c>
      <c r="C38" t="s">
        <v>139</v>
      </c>
      <c r="D38" s="4">
        <v>6.3915628539071401E-2</v>
      </c>
      <c r="E38" s="4">
        <v>8.0088446144279901E-2</v>
      </c>
      <c r="I38" t="str">
        <v>https://www.insee.fr/fr/statistiques/serie/010536462</v>
      </c>
      <c r="J38" t="str">
        <v>010765837</v>
      </c>
      <c r="K38" t="str">
        <v>Acier pour la construction</v>
      </c>
      <c r="L38" s="4">
        <v>-5.2765647743813204E-3</v>
      </c>
      <c r="M38" s="4">
        <v>-3.4384304975023761E-2</v>
      </c>
    </row>
    <row r="39" spans="1:13">
      <c r="A39" s="34" t="s">
        <v>109</v>
      </c>
      <c r="B39" s="32" t="s">
        <v>341</v>
      </c>
      <c r="C39" t="s">
        <v>140</v>
      </c>
      <c r="D39" s="4">
        <v>9.089648478125234E-2</v>
      </c>
      <c r="E39" s="4">
        <v>0.11636157230026956</v>
      </c>
      <c r="I39" t="str">
        <v>https://www.insee.fr/fr/statistiques/serie/010534645</v>
      </c>
      <c r="J39" t="str">
        <v>010764179</v>
      </c>
      <c r="K39" t="str">
        <v>Éléments en béton pour la construction</v>
      </c>
      <c r="L39" s="4">
        <v>-5.9403172828289552E-3</v>
      </c>
      <c r="M39" s="4">
        <v>-4.0194890065024858E-2</v>
      </c>
    </row>
    <row r="40" spans="1:13">
      <c r="A40" s="34" t="s">
        <v>110</v>
      </c>
      <c r="B40" s="32" t="s">
        <v>342</v>
      </c>
      <c r="C40" t="s">
        <v>141</v>
      </c>
      <c r="D40" s="4">
        <v>-1.0934937124111865E-3</v>
      </c>
      <c r="E40" s="4">
        <v>-1.6200414241529293E-2</v>
      </c>
      <c r="I40" t="str">
        <v>https://www.insee.fr/fr/statistiques/serie/010534606</v>
      </c>
      <c r="J40" t="str">
        <v>010764143</v>
      </c>
      <c r="K40" t="str">
        <v>Matières plastiques sous formes primaires</v>
      </c>
      <c r="L40" s="4">
        <v>-8.1545825208296785E-3</v>
      </c>
      <c r="M40" s="4">
        <v>-1.4925763036702899E-2</v>
      </c>
    </row>
    <row r="41" spans="1:13">
      <c r="A41" s="34" t="s">
        <v>111</v>
      </c>
      <c r="B41" s="32" t="s">
        <v>343</v>
      </c>
      <c r="C41" t="s">
        <v>142</v>
      </c>
      <c r="D41" s="4">
        <v>-8.4830063553468005E-2</v>
      </c>
      <c r="E41" s="4">
        <v>-0.18223452704143772</v>
      </c>
      <c r="I41" t="str">
        <v>https://www.insee.fr/fr/statistiques/serie/010536480</v>
      </c>
      <c r="J41" t="str">
        <v>010765839</v>
      </c>
      <c r="K41" t="str">
        <v>Tôles quarto et autres produits plats en aciers non alliés de qualité</v>
      </c>
      <c r="L41" s="4">
        <v>-1.3257575757576023E-2</v>
      </c>
      <c r="M41" s="4">
        <v>-8.9796243894470051E-2</v>
      </c>
    </row>
    <row r="42" spans="1:13">
      <c r="A42" s="34" t="s">
        <v>112</v>
      </c>
      <c r="B42" s="32" t="s">
        <v>344</v>
      </c>
      <c r="C42" t="s">
        <v>143</v>
      </c>
      <c r="D42" s="4">
        <v>-2.4202960869832091E-2</v>
      </c>
      <c r="E42" s="4">
        <v>-4.6629423405330828E-2</v>
      </c>
      <c r="I42" t="str">
        <v>https://www.insee.fr/fr/statistiques/serie/010534180</v>
      </c>
      <c r="J42" t="str">
        <v>010763825</v>
      </c>
      <c r="K42" t="str">
        <v>Peintures Industries</v>
      </c>
      <c r="L42" s="4">
        <v>-2.4202960869832091E-2</v>
      </c>
      <c r="M42" s="4">
        <v>-4.6629423405330828E-2</v>
      </c>
    </row>
    <row r="43" spans="1:13">
      <c r="A43" s="34" t="s">
        <v>113</v>
      </c>
      <c r="B43" s="32" t="s">
        <v>345</v>
      </c>
      <c r="C43" t="s">
        <v>144</v>
      </c>
      <c r="D43" s="4">
        <v>-4.4006336912517652E-3</v>
      </c>
      <c r="E43" s="4">
        <v>-5.4457864232660635E-2</v>
      </c>
      <c r="I43" t="str">
        <v>https://www.insee.fr/fr/statistiques/serie/010535345</v>
      </c>
      <c r="J43" t="str">
        <v>010764834</v>
      </c>
      <c r="K43" t="str">
        <v>Câbles de fibres optiques</v>
      </c>
      <c r="L43" s="4">
        <v>-8.4830063553468005E-2</v>
      </c>
      <c r="M43" s="4">
        <v>-0.18223452704143772</v>
      </c>
    </row>
    <row r="44" spans="1:13">
      <c r="A44" s="34" t="s">
        <v>114</v>
      </c>
      <c r="B44" s="32" t="s">
        <v>346</v>
      </c>
      <c r="C44" t="s">
        <v>145</v>
      </c>
      <c r="D44" s="4">
        <v>-1.3257575757576023E-2</v>
      </c>
      <c r="E44" s="4">
        <v>-8.9796243894470051E-2</v>
      </c>
      <c r="I44" t="str">
        <v>https://www.insee.fr/fr/statistiques/serie/010534598</v>
      </c>
      <c r="J44" t="str">
        <v>010764136</v>
      </c>
      <c r="K44" t="str">
        <v>Bitume</v>
      </c>
      <c r="L44" s="4">
        <v>-8.5351250665247402E-2</v>
      </c>
      <c r="M44" s="4">
        <v>-8.2505025766420048E-2</v>
      </c>
    </row>
    <row r="45" spans="1:13">
      <c r="A45" s="34" t="s">
        <v>309</v>
      </c>
      <c r="B45" s="32" t="s">
        <v>347</v>
      </c>
      <c r="C45" t="s">
        <v>148</v>
      </c>
      <c r="D45" s="4">
        <v>1.659394893069166E-2</v>
      </c>
      <c r="E45" s="4">
        <v>4.6986393385722192E-2</v>
      </c>
      <c r="I45" t="str">
        <v>https://www.insee.fr/fr/statistiques/serie/010534776</v>
      </c>
      <c r="J45" t="str">
        <v>010764297</v>
      </c>
      <c r="K45" t="str">
        <v>Gaz naturel</v>
      </c>
      <c r="L45" s="4">
        <v>-0.10571207030240359</v>
      </c>
      <c r="M45" s="4">
        <v>7.1069226828762044E-2</v>
      </c>
    </row>
    <row r="46" spans="1:13">
      <c r="A46" s="34" t="s">
        <v>310</v>
      </c>
      <c r="B46" s="32" t="s">
        <v>348</v>
      </c>
      <c r="C46" t="s">
        <v>149</v>
      </c>
      <c r="D46" s="4">
        <v>-2.0386590154032325E-3</v>
      </c>
      <c r="E46" s="4">
        <v>3.2160815064002035E-2</v>
      </c>
      <c r="I46" t="str">
        <v>https://www.insee.fr/fr/statistiques/serie/010534769</v>
      </c>
      <c r="J46" t="str">
        <v>010764291</v>
      </c>
      <c r="K46" t="str">
        <v>Électricité vendue aux entreprises consommatrices finales</v>
      </c>
      <c r="L46" s="4">
        <v>-0.1348639556158886</v>
      </c>
      <c r="M46" s="4">
        <v>-0.31101179718770255</v>
      </c>
    </row>
    <row r="47" spans="1:13">
      <c r="L47" s="4"/>
      <c r="M47" s="4"/>
    </row>
    <row r="48" spans="1:13">
      <c r="L48" s="4"/>
      <c r="M48" s="4"/>
    </row>
    <row r="50" spans="1:42">
      <c r="C50" t="str">
        <f>'A MODIFIER'!E13</f>
        <v xml:space="preserve">*12 mois </v>
      </c>
      <c r="D50" s="4">
        <f>('CUMULS INDICES'!B117/'CUMULS INDICES'!B132)-1</f>
        <v>1.2919552477357321E-2</v>
      </c>
      <c r="E50" s="4">
        <f>('CUMULS INDICES'!C117/'CUMULS INDICES'!C132)-1</f>
        <v>3.4381679389312803E-2</v>
      </c>
      <c r="F50" s="4">
        <f>('CUMULS INDICES'!D117/'CUMULS INDICES'!D132)-1</f>
        <v>2.2233262948702093E-2</v>
      </c>
      <c r="G50" s="4">
        <f>('CUMULS INDICES'!E117/'CUMULS INDICES'!E132)-1</f>
        <v>0.18659065265158259</v>
      </c>
      <c r="H50" s="4">
        <f>('CUMULS INDICES'!F117/'CUMULS INDICES'!F132)-1</f>
        <v>6.8357911551350847E-2</v>
      </c>
      <c r="I50" s="4">
        <f>('CUMULS INDICES'!G117/'CUMULS INDICES'!G132)-1</f>
        <v>6.9449316029466246E-3</v>
      </c>
      <c r="J50" s="4">
        <f>('CUMULS INDICES'!H117/'CUMULS INDICES'!H132)-1</f>
        <v>1.5639683178950259E-2</v>
      </c>
      <c r="K50" s="4">
        <f>('CUMULS INDICES'!I117/'CUMULS INDICES'!I132)-1</f>
        <v>-0.1348639556158886</v>
      </c>
      <c r="L50" s="4">
        <f>('CUMULS INDICES'!J117/'CUMULS INDICES'!J132)-1</f>
        <v>-0.10571207030240359</v>
      </c>
      <c r="M50" s="4">
        <f>('CUMULS INDICES'!K117/'CUMULS INDICES'!K132)-1</f>
        <v>0.12477621970155117</v>
      </c>
      <c r="N50" s="4">
        <f>('CUMULS INDICES'!L117/'CUMULS INDICES'!L132)-1</f>
        <v>6.8181818181818343E-3</v>
      </c>
      <c r="O50" s="4">
        <f>('CUMULS INDICES'!M117/'CUMULS INDICES'!M132)-1</f>
        <v>3.3678952546734031E-2</v>
      </c>
      <c r="P50" s="4">
        <f>('CUMULS INDICES'!N117/'CUMULS INDICES'!N132)-1</f>
        <v>2.697830146159319E-2</v>
      </c>
      <c r="Q50" s="4">
        <f>('CUMULS INDICES'!O117/'CUMULS INDICES'!O132)-1</f>
        <v>3.8947468414554098E-3</v>
      </c>
      <c r="R50" s="4">
        <f>('CUMULS INDICES'!P117/'CUMULS INDICES'!P132)-1</f>
        <v>1.5457960127130743E-2</v>
      </c>
      <c r="S50" s="4">
        <f>('CUMULS INDICES'!Q117/'CUMULS INDICES'!Q132)-1</f>
        <v>-4.7144292449186054E-3</v>
      </c>
      <c r="T50" s="4">
        <f>('CUMULS INDICES'!R117/'CUMULS INDICES'!R132)-1</f>
        <v>1.839067123049265E-2</v>
      </c>
      <c r="U50" s="4">
        <f>('CUMULS INDICES'!S117/'CUMULS INDICES'!S132)-1</f>
        <v>6.040015100037488E-3</v>
      </c>
      <c r="V50" s="4">
        <f>('CUMULS INDICES'!T117/'CUMULS INDICES'!T132)-1</f>
        <v>-5.2765647743813204E-3</v>
      </c>
      <c r="W50" s="4">
        <f>('CUMULS INDICES'!U117/'CUMULS INDICES'!U132)-1</f>
        <v>-8.5351250665247402E-2</v>
      </c>
      <c r="X50" s="4">
        <f>('CUMULS INDICES'!V117/'CUMULS INDICES'!V132)-1</f>
        <v>-2.7221466070386224E-3</v>
      </c>
      <c r="Y50" s="4">
        <f>('CUMULS INDICES'!W117/'CUMULS INDICES'!W132)-1</f>
        <v>-1.5218494093773849E-3</v>
      </c>
      <c r="Z50" s="4">
        <f>('CUMULS INDICES'!X117/'CUMULS INDICES'!X132)-1</f>
        <v>8.7850588924320849E-3</v>
      </c>
      <c r="AA50" s="4">
        <f>('CUMULS INDICES'!Y117/'CUMULS INDICES'!Y132)-1</f>
        <v>7.3159030942673287E-3</v>
      </c>
      <c r="AB50" s="4">
        <f>('CUMULS INDICES'!Z117/'CUMULS INDICES'!Z132)-1</f>
        <v>7.3371858970199266E-3</v>
      </c>
      <c r="AC50" s="4">
        <f>('CUMULS INDICES'!AA117/'CUMULS INDICES'!AA132)-1</f>
        <v>2.4645583424209416E-2</v>
      </c>
      <c r="AD50" s="4">
        <f>('CUMULS INDICES'!AB117/'CUMULS INDICES'!AB132)-1</f>
        <v>-8.1545825208296785E-3</v>
      </c>
      <c r="AE50" s="4">
        <f>('CUMULS INDICES'!AC117/'CUMULS INDICES'!AC132)-1</f>
        <v>2.5111985882992904E-3</v>
      </c>
      <c r="AF50" s="4">
        <f>('CUMULS INDICES'!AD117/'CUMULS INDICES'!AD132)-1</f>
        <v>-5.9403172828289552E-3</v>
      </c>
      <c r="AG50" s="4">
        <f>('CUMULS INDICES'!AE117/'CUMULS INDICES'!AE132)-1</f>
        <v>3.4277395447326997E-2</v>
      </c>
      <c r="AH50" s="4">
        <f>('CUMULS INDICES'!AF117/'CUMULS INDICES'!AF132)-1</f>
        <v>6.3915628539071401E-2</v>
      </c>
      <c r="AI50" s="4">
        <f>('CUMULS INDICES'!AG117/'CUMULS INDICES'!AG132)-1</f>
        <v>9.089648478125234E-2</v>
      </c>
      <c r="AJ50" s="4">
        <f>('CUMULS INDICES'!AH117/'CUMULS INDICES'!AH132)-1</f>
        <v>-1.0934937124111865E-3</v>
      </c>
      <c r="AK50" s="4">
        <f>('CUMULS INDICES'!AI117/'CUMULS INDICES'!AI132)-1</f>
        <v>-8.4830063553468005E-2</v>
      </c>
      <c r="AL50" s="4">
        <f>('CUMULS INDICES'!AJ117/'CUMULS INDICES'!AJ132)-1</f>
        <v>-2.4202960869832091E-2</v>
      </c>
      <c r="AM50" s="4">
        <f>('CUMULS INDICES'!AK117/'CUMULS INDICES'!AK132)-1</f>
        <v>-4.4006336912517652E-3</v>
      </c>
      <c r="AN50" s="4">
        <f>('CUMULS INDICES'!AL117/'CUMULS INDICES'!AL132)-1</f>
        <v>-1.3257575757576023E-2</v>
      </c>
      <c r="AO50" s="4">
        <f>('CUMULS INDICES'!AM117/'CUMULS INDICES'!AM132)-1</f>
        <v>1.659394893069166E-2</v>
      </c>
      <c r="AP50" s="4">
        <f>('CUMULS INDICES'!AN117/'CUMULS INDICES'!AN132)-1</f>
        <v>-2.0386590154032325E-3</v>
      </c>
    </row>
    <row r="51" spans="1:42">
      <c r="C51" t="str">
        <f>'A MODIFIER'!E14</f>
        <v>*24 mois</v>
      </c>
      <c r="D51" s="4">
        <f>('CUMULS INDICES'!B117/'CUMULS INDICES'!B147)-1</f>
        <v>2.4587403166049127E-2</v>
      </c>
      <c r="E51" s="4">
        <f>('CUMULS INDICES'!C117/'CUMULS INDICES'!C147)-1</f>
        <v>6.6893424036281068E-2</v>
      </c>
      <c r="F51" s="4">
        <f>('CUMULS INDICES'!D117/'CUMULS INDICES'!D147)-1</f>
        <v>4.8942136120316171E-2</v>
      </c>
      <c r="G51" s="4">
        <f>('CUMULS INDICES'!E117/'CUMULS INDICES'!E147)-1</f>
        <v>0.17280037565299056</v>
      </c>
      <c r="H51" s="4">
        <f>('CUMULS INDICES'!F117/'CUMULS INDICES'!F147)-1</f>
        <v>-1.7380306862759931E-2</v>
      </c>
      <c r="I51" s="4">
        <f>('CUMULS INDICES'!G117/'CUMULS INDICES'!G147)-1</f>
        <v>1.4488656442151804E-2</v>
      </c>
      <c r="J51" s="4">
        <f>('CUMULS INDICES'!H117/'CUMULS INDICES'!H147)-1</f>
        <v>3.7720320965640042E-2</v>
      </c>
      <c r="K51" s="4">
        <f>('CUMULS INDICES'!I117/'CUMULS INDICES'!I147)-1</f>
        <v>-0.31101179718770255</v>
      </c>
      <c r="L51" s="4">
        <f>('CUMULS INDICES'!J117/'CUMULS INDICES'!J147)-1</f>
        <v>7.1069226828762044E-2</v>
      </c>
      <c r="M51" s="4">
        <f>('CUMULS INDICES'!K117/'CUMULS INDICES'!K147)-1</f>
        <v>-2.6015765188935114E-2</v>
      </c>
      <c r="N51" s="4">
        <f>('CUMULS INDICES'!L117/'CUMULS INDICES'!L147)-1</f>
        <v>-5.9756499967049237E-2</v>
      </c>
      <c r="O51" s="4">
        <f>('CUMULS INDICES'!M117/'CUMULS INDICES'!M147)-1</f>
        <v>4.3073163280891835E-2</v>
      </c>
      <c r="P51" s="4">
        <f>('CUMULS INDICES'!N117/'CUMULS INDICES'!N147)-1</f>
        <v>3.213830650022298E-2</v>
      </c>
      <c r="Q51" s="4">
        <f>('CUMULS INDICES'!O117/'CUMULS INDICES'!O147)-1</f>
        <v>-1.3787653748020601E-2</v>
      </c>
      <c r="R51" s="4">
        <f>('CUMULS INDICES'!P117/'CUMULS INDICES'!P147)-1</f>
        <v>9.9288416713951833E-3</v>
      </c>
      <c r="S51" s="4">
        <f>('CUMULS INDICES'!Q117/'CUMULS INDICES'!Q147)-1</f>
        <v>-1.6285469843171585E-2</v>
      </c>
      <c r="T51" s="4">
        <f>('CUMULS INDICES'!R117/'CUMULS INDICES'!R147)-1</f>
        <v>2.9390545221777309E-2</v>
      </c>
      <c r="U51" s="4">
        <f>('CUMULS INDICES'!S117/'CUMULS INDICES'!S147)-1</f>
        <v>-2.6590033012672487E-2</v>
      </c>
      <c r="V51" s="4">
        <f>('CUMULS INDICES'!T117/'CUMULS INDICES'!T147)-1</f>
        <v>-3.4384304975023761E-2</v>
      </c>
      <c r="W51" s="4">
        <f>('CUMULS INDICES'!U117/'CUMULS INDICES'!U147)-1</f>
        <v>-8.2505025766420048E-2</v>
      </c>
      <c r="X51" s="4">
        <f>('CUMULS INDICES'!V117/'CUMULS INDICES'!V147)-1</f>
        <v>-8.7885325808614301E-3</v>
      </c>
      <c r="Y51" s="4">
        <f>('CUMULS INDICES'!W117/'CUMULS INDICES'!W147)-1</f>
        <v>1.004089080144599E-3</v>
      </c>
      <c r="Z51" s="4">
        <f>('CUMULS INDICES'!X117/'CUMULS INDICES'!X147)-1</f>
        <v>-4.7187518970062126E-3</v>
      </c>
      <c r="AA51" s="4">
        <f>('CUMULS INDICES'!Y117/'CUMULS INDICES'!Y147)-1</f>
        <v>1.0082133868522414E-2</v>
      </c>
      <c r="AB51" s="4">
        <f>('CUMULS INDICES'!Z117/'CUMULS INDICES'!Z147)-1</f>
        <v>1.3971047641297529E-2</v>
      </c>
      <c r="AC51" s="4">
        <f>('CUMULS INDICES'!AA117/'CUMULS INDICES'!AA147)-1</f>
        <v>3.9085477464771534E-2</v>
      </c>
      <c r="AD51" s="4">
        <f>('CUMULS INDICES'!AB117/'CUMULS INDICES'!AB147)-1</f>
        <v>-1.4925763036702899E-2</v>
      </c>
      <c r="AE51" s="4">
        <f>('CUMULS INDICES'!AC117/'CUMULS INDICES'!AC147)-1</f>
        <v>-3.7498293383801728E-2</v>
      </c>
      <c r="AF51" s="4">
        <f>('CUMULS INDICES'!AD117/'CUMULS INDICES'!AD147)-1</f>
        <v>-4.0194890065024858E-2</v>
      </c>
      <c r="AG51" s="4">
        <f>('CUMULS INDICES'!AE117/'CUMULS INDICES'!AE147)-1</f>
        <v>0.10177300225070129</v>
      </c>
      <c r="AH51" s="4">
        <f>('CUMULS INDICES'!AF117/'CUMULS INDICES'!AF147)-1</f>
        <v>8.0088446144279901E-2</v>
      </c>
      <c r="AI51" s="4">
        <f>('CUMULS INDICES'!AG117/'CUMULS INDICES'!AG147)-1</f>
        <v>0.11636157230026956</v>
      </c>
      <c r="AJ51" s="4">
        <f>('CUMULS INDICES'!AH117/'CUMULS INDICES'!AH147)-1</f>
        <v>-1.6200414241529293E-2</v>
      </c>
      <c r="AK51" s="4">
        <f>('CUMULS INDICES'!AI117/'CUMULS INDICES'!AI147)-1</f>
        <v>-0.18223452704143772</v>
      </c>
      <c r="AL51" s="4">
        <f>('CUMULS INDICES'!AJ117/'CUMULS INDICES'!AJ147)-1</f>
        <v>-4.6629423405330828E-2</v>
      </c>
      <c r="AM51" s="4">
        <f>('CUMULS INDICES'!AK117/'CUMULS INDICES'!AK147)-1</f>
        <v>-5.4457864232660635E-2</v>
      </c>
      <c r="AN51" s="4">
        <f>('CUMULS INDICES'!AL117/'CUMULS INDICES'!AL147)-1</f>
        <v>-8.9796243894470051E-2</v>
      </c>
      <c r="AO51" s="4">
        <f>('CUMULS INDICES'!AM117/'CUMULS INDICES'!AM147)-1</f>
        <v>4.6986393385722192E-2</v>
      </c>
      <c r="AP51" s="4">
        <f>('CUMULS INDICES'!AN117/'CUMULS INDICES'!AN147)-1</f>
        <v>3.2160815064002035E-2</v>
      </c>
    </row>
    <row r="53" spans="1:42">
      <c r="A53" s="248" t="str">
        <f>"B. EVOLUTION DE JANVIER A "&amp;'A MODIFIER'!F4&amp;" (MOYEN TERME)"</f>
        <v>B. EVOLUTION DE JANVIER A MAI 2026 (MOYEN TERME)</v>
      </c>
      <c r="B53" s="248"/>
      <c r="C53" s="248"/>
    </row>
    <row r="54" spans="1:42">
      <c r="A54" s="3"/>
    </row>
    <row r="55" spans="1:42">
      <c r="A55" s="3"/>
      <c r="B55" s="242" t="s">
        <v>187</v>
      </c>
      <c r="C55" s="242"/>
      <c r="D55" s="242"/>
      <c r="E55" s="242"/>
      <c r="J55" s="242" t="s">
        <v>188</v>
      </c>
      <c r="K55" s="242"/>
      <c r="L55" s="242"/>
      <c r="M55" s="242"/>
    </row>
    <row r="56" spans="1:42">
      <c r="A56" s="3"/>
      <c r="D56" s="4" t="str" cm="1">
        <f t="array" ref="D56:D95">TRANSPOSE(C100:AP100)</f>
        <v>*/2025</v>
      </c>
      <c r="E56" s="4" t="str" cm="1">
        <f t="array" ref="E56:E95">TRANSPOSE(C101:AP101)</f>
        <v>*/2024</v>
      </c>
      <c r="L56" t="str">
        <f>'A MODIFIER'!E12</f>
        <v>*/2025</v>
      </c>
      <c r="M56" t="str">
        <f>'A MODIFIER'!E11</f>
        <v>*/2024</v>
      </c>
    </row>
    <row r="57" spans="1:42">
      <c r="A57" s="34" t="s">
        <v>84</v>
      </c>
      <c r="B57" s="32" t="s">
        <v>47</v>
      </c>
      <c r="C57" s="136" t="s">
        <v>115</v>
      </c>
      <c r="D57" s="4">
        <v>1.5490258703289683E-2</v>
      </c>
      <c r="E57" s="4">
        <v>2.1526104417670666E-2</v>
      </c>
      <c r="I57" t="str" cm="1">
        <f t="array" ref="I57:M95">_xlfn._xlws.SORT(A57:E95,4,-1,FALSE)</f>
        <v>https://www.fntp.fr/sites/default/files/content/indice_gazole_htt.pdf</v>
      </c>
      <c r="J57" t="str">
        <v>Gazole routier HTT</v>
      </c>
      <c r="K57" t="str">
        <v>Gazole routier HTT</v>
      </c>
      <c r="L57" s="4">
        <v>0.35607335928372263</v>
      </c>
      <c r="M57" s="4">
        <v>0.17981630043018293</v>
      </c>
    </row>
    <row r="58" spans="1:42">
      <c r="A58" s="37" t="s">
        <v>356</v>
      </c>
      <c r="B58">
        <v>8682743</v>
      </c>
      <c r="C58" t="s">
        <v>116</v>
      </c>
      <c r="D58" s="4">
        <v>3.6595991867557354E-2</v>
      </c>
      <c r="E58" s="4">
        <v>7.3222071868891625E-2</v>
      </c>
      <c r="I58" t="str">
        <v>https://www.insee.fr/fr/statistiques/serie/010777519</v>
      </c>
      <c r="J58" t="str">
        <v>010777519</v>
      </c>
      <c r="K58" t="str">
        <v>GNR pour les Travaux Publics</v>
      </c>
      <c r="L58" s="4">
        <v>0.33730051393021365</v>
      </c>
      <c r="M58" s="4">
        <v>0.33965587318791468</v>
      </c>
    </row>
    <row r="59" spans="1:42">
      <c r="A59" s="34" t="s">
        <v>85</v>
      </c>
      <c r="B59" s="32" t="s">
        <v>49</v>
      </c>
      <c r="C59" t="s">
        <v>117</v>
      </c>
      <c r="D59" s="4">
        <v>2.1311232795619084E-2</v>
      </c>
      <c r="E59" s="4">
        <v>4.7828727604008581E-2</v>
      </c>
      <c r="I59" t="str">
        <v>https://www.insee.fr/fr/statistiques/serie/001764283</v>
      </c>
      <c r="J59" t="str">
        <v>001764283</v>
      </c>
      <c r="K59" t="str">
        <v>Gazole</v>
      </c>
      <c r="L59" s="4">
        <v>0.19374962748097646</v>
      </c>
      <c r="M59" s="4">
        <v>0.10588603401310426</v>
      </c>
    </row>
    <row r="60" spans="1:42">
      <c r="A60" s="33" t="s">
        <v>279</v>
      </c>
      <c r="B60" s="32" t="s">
        <v>317</v>
      </c>
      <c r="C60" t="s">
        <v>316</v>
      </c>
      <c r="D60" s="4">
        <v>0.33730051393021365</v>
      </c>
      <c r="E60" s="4">
        <v>0.33965587318791468</v>
      </c>
      <c r="I60" t="str">
        <v>https://www.insee.fr/fr/statistiques/serie/010764224</v>
      </c>
      <c r="J60" t="str">
        <v>010764224</v>
      </c>
      <c r="K60" t="str">
        <v>Matériel de distribution et de commande électrique</v>
      </c>
      <c r="L60" s="4">
        <v>0.17282700421940933</v>
      </c>
      <c r="M60" s="4">
        <v>0.16829186281102904</v>
      </c>
    </row>
    <row r="61" spans="1:42">
      <c r="A61" s="34" t="s">
        <v>86</v>
      </c>
      <c r="B61" s="32" t="s">
        <v>50</v>
      </c>
      <c r="C61" t="s">
        <v>118</v>
      </c>
      <c r="D61" s="4">
        <v>0.19374962748097646</v>
      </c>
      <c r="E61" s="4">
        <v>0.10588603401310426</v>
      </c>
      <c r="I61" t="str">
        <v>https://www.insee.fr/fr/statistiques/serie/010764223</v>
      </c>
      <c r="J61" t="str">
        <v>010764223</v>
      </c>
      <c r="K61" t="str">
        <v>Moteurs, génératrices, transfo. électr., matér. distrib., cmde électr.</v>
      </c>
      <c r="L61" s="4">
        <v>0.10969170499063186</v>
      </c>
      <c r="M61" s="4">
        <v>0.11711248285322351</v>
      </c>
    </row>
    <row r="62" spans="1:42">
      <c r="A62" s="34" t="s">
        <v>87</v>
      </c>
      <c r="B62" s="32" t="s">
        <v>51</v>
      </c>
      <c r="C62" t="s">
        <v>119</v>
      </c>
      <c r="D62" s="4">
        <v>9.6153846153845812E-3</v>
      </c>
      <c r="E62" s="4">
        <v>1.6992353440951513E-2</v>
      </c>
      <c r="I62" t="str">
        <v>https://www.insee.fr/fr/statistiques/serie/010763930</v>
      </c>
      <c r="J62" t="str">
        <v>010763930</v>
      </c>
      <c r="K62" t="str">
        <v>Fils et câbles d'énergie</v>
      </c>
      <c r="L62" s="4">
        <v>7.8446785096682792E-2</v>
      </c>
      <c r="M62" s="4">
        <v>0.14048212801330018</v>
      </c>
    </row>
    <row r="63" spans="1:42">
      <c r="A63" s="34" t="s">
        <v>88</v>
      </c>
      <c r="B63" s="32" t="s">
        <v>52</v>
      </c>
      <c r="C63" t="s">
        <v>120</v>
      </c>
      <c r="D63" s="4">
        <v>2.2526146419951765E-2</v>
      </c>
      <c r="E63" s="4">
        <v>2.6987718164188879E-2</v>
      </c>
      <c r="I63" t="str">
        <v>https://www.insee.fr/fr/statistiques/serie/010764143</v>
      </c>
      <c r="J63" t="str">
        <v>010764143</v>
      </c>
      <c r="K63" t="str">
        <v>Matières plastiques sous formes primaires</v>
      </c>
      <c r="L63" s="4">
        <v>6.1597281223449318E-2</v>
      </c>
      <c r="M63" s="4">
        <v>4.3859649122806932E-2</v>
      </c>
    </row>
    <row r="64" spans="1:42">
      <c r="A64" s="34" t="s">
        <v>280</v>
      </c>
      <c r="B64" s="186" t="s">
        <v>320</v>
      </c>
      <c r="C64" t="s">
        <v>121</v>
      </c>
      <c r="D64" s="4">
        <v>-9.5969033635878054E-2</v>
      </c>
      <c r="E64" s="4">
        <v>-0.22972819288070045</v>
      </c>
      <c r="I64" t="str">
        <v>https://www.insee.fr/fr/statistiques/serie/010763845</v>
      </c>
      <c r="J64" t="str">
        <v>010763845</v>
      </c>
      <c r="K64" t="str">
        <v>Tubes, tuyaux en matière plastique</v>
      </c>
      <c r="L64" s="4">
        <v>4.6745562130177554E-2</v>
      </c>
      <c r="M64" s="4">
        <v>-3.7671877943101784E-4</v>
      </c>
    </row>
    <row r="65" spans="1:13">
      <c r="A65" s="158" t="s">
        <v>281</v>
      </c>
      <c r="B65" s="186" t="s">
        <v>321</v>
      </c>
      <c r="C65" t="s">
        <v>263</v>
      </c>
      <c r="D65" s="4">
        <v>-8.182865923933913E-2</v>
      </c>
      <c r="E65" s="4">
        <v>0.35257498585172642</v>
      </c>
      <c r="I65" t="str">
        <v>https://www.insee.fr/fr/statistiques/serie/010765839</v>
      </c>
      <c r="J65" t="str">
        <v>010765839</v>
      </c>
      <c r="K65" t="str">
        <v>Tôles quarto et autres produits plats en aciers non alliés de qualité</v>
      </c>
      <c r="L65" s="4">
        <v>4.5031815956926069E-2</v>
      </c>
      <c r="M65" s="4">
        <v>-4.2386185243327934E-2</v>
      </c>
    </row>
    <row r="66" spans="1:13" ht="30">
      <c r="A66" s="34" t="s">
        <v>90</v>
      </c>
      <c r="B66" s="32" t="s">
        <v>55</v>
      </c>
      <c r="C66" t="s">
        <v>55</v>
      </c>
      <c r="D66" s="4">
        <v>0.35607335928372263</v>
      </c>
      <c r="E66" s="4">
        <v>0.17981630043018293</v>
      </c>
      <c r="I66" t="str">
        <v>https://www.insee.fr/fr/statistiques/8682743</v>
      </c>
      <c r="J66">
        <v>8682743</v>
      </c>
      <c r="K66" t="str">
        <v>Travail</v>
      </c>
      <c r="L66" s="4">
        <v>3.6595991867557354E-2</v>
      </c>
      <c r="M66" s="4">
        <v>7.3222071868891625E-2</v>
      </c>
    </row>
    <row r="67" spans="1:13">
      <c r="A67" s="34" t="s">
        <v>282</v>
      </c>
      <c r="B67" s="32" t="s">
        <v>322</v>
      </c>
      <c r="C67" t="s">
        <v>122</v>
      </c>
      <c r="D67" s="4">
        <v>4.6745562130177554E-2</v>
      </c>
      <c r="E67" s="4">
        <v>-3.7671877943101784E-4</v>
      </c>
      <c r="I67" t="str">
        <v>https://www.insee.fr/fr/statistiques/serie/010764187</v>
      </c>
      <c r="J67" t="str">
        <v>010764187</v>
      </c>
      <c r="K67" t="str">
        <v>Tubes, tuyaux, profilés creux et accessoires correspondants en acier</v>
      </c>
      <c r="L67" s="4">
        <v>3.149736147757265E-2</v>
      </c>
      <c r="M67" s="4">
        <v>1.6012810248198228E-3</v>
      </c>
    </row>
    <row r="68" spans="1:13">
      <c r="A68" s="34" t="s">
        <v>284</v>
      </c>
      <c r="B68" s="186" t="s">
        <v>283</v>
      </c>
      <c r="C68" t="s">
        <v>123</v>
      </c>
      <c r="D68" s="4">
        <v>2.7468581687612348E-2</v>
      </c>
      <c r="E68" s="4">
        <v>6.7524715538145985E-2</v>
      </c>
      <c r="I68" t="str">
        <v>https://www.insee.fr/fr/statistiques/serie/010763881</v>
      </c>
      <c r="J68" t="str">
        <v>010763881</v>
      </c>
      <c r="K68" t="str">
        <v>Produits sidérurgiques en acier non allié</v>
      </c>
      <c r="L68" s="4">
        <v>3.1263292216078487E-2</v>
      </c>
      <c r="M68" s="4">
        <v>-7.1662571662570729E-3</v>
      </c>
    </row>
    <row r="69" spans="1:13">
      <c r="A69" s="34" t="s">
        <v>285</v>
      </c>
      <c r="B69" s="186" t="s">
        <v>323</v>
      </c>
      <c r="C69" t="s">
        <v>124</v>
      </c>
      <c r="D69" s="4">
        <v>3.0242859324881577E-2</v>
      </c>
      <c r="E69" s="4">
        <v>4.1377180793577217E-2</v>
      </c>
      <c r="I69" t="str">
        <v>https://www.insee.fr/fr/statistiques/serie/010764301</v>
      </c>
      <c r="J69" t="str">
        <v>010764301</v>
      </c>
      <c r="K69" t="str">
        <v>Collecte, traitement et élimination des déchets ; récupération de matériaux</v>
      </c>
      <c r="L69" s="4">
        <v>3.0523255813953654E-2</v>
      </c>
      <c r="M69" s="4">
        <v>3.730797366495997E-2</v>
      </c>
    </row>
    <row r="70" spans="1:13">
      <c r="A70" s="34" t="s">
        <v>286</v>
      </c>
      <c r="B70" s="186" t="s">
        <v>324</v>
      </c>
      <c r="C70" t="s">
        <v>125</v>
      </c>
      <c r="D70" s="4">
        <v>1.0889292196007094E-2</v>
      </c>
      <c r="E70" s="4">
        <v>-1.0657193605683735E-2</v>
      </c>
      <c r="I70" t="str">
        <v>https://www.insee.fr/fr/statistiques/serie/010764180</v>
      </c>
      <c r="J70" t="str">
        <v>010764180</v>
      </c>
      <c r="K70" t="str">
        <v>Béton prêt à l'emploi</v>
      </c>
      <c r="L70" s="4">
        <v>3.0242859324881577E-2</v>
      </c>
      <c r="M70" s="4">
        <v>4.1377180793577217E-2</v>
      </c>
    </row>
    <row r="71" spans="1:13">
      <c r="A71" s="34" t="s">
        <v>287</v>
      </c>
      <c r="B71" s="195" t="s">
        <v>319</v>
      </c>
      <c r="C71" t="s">
        <v>126</v>
      </c>
      <c r="D71" s="4">
        <v>1.9557385486361101E-2</v>
      </c>
      <c r="E71" s="4">
        <v>1.2608621570965761E-2</v>
      </c>
      <c r="I71" t="str">
        <v>https://www.insee.fr/fr/statistiques/serie/010764116#Tableau</v>
      </c>
      <c r="J71" t="str">
        <v> 010764116</v>
      </c>
      <c r="K71" t="str">
        <v>Ensemble des produits du sciage</v>
      </c>
      <c r="L71" s="4">
        <v>2.7468581687612348E-2</v>
      </c>
      <c r="M71" s="4">
        <v>6.7524715538145985E-2</v>
      </c>
    </row>
    <row r="72" spans="1:13">
      <c r="A72" s="34" t="s">
        <v>288</v>
      </c>
      <c r="B72" s="32" t="s">
        <v>325</v>
      </c>
      <c r="C72" t="s">
        <v>127</v>
      </c>
      <c r="D72" s="4">
        <v>1.3226527570789903E-2</v>
      </c>
      <c r="E72" s="4">
        <v>1.7776946107784575E-2</v>
      </c>
      <c r="I72" t="str">
        <v>https://www.insee.fr/fr/statistiques/serie/010764101</v>
      </c>
      <c r="J72" t="str">
        <v>010764101</v>
      </c>
      <c r="K72" t="str">
        <v>Autres textiles</v>
      </c>
      <c r="L72" s="4">
        <v>2.6507276507276467E-2</v>
      </c>
      <c r="M72" s="4">
        <v>4.8858204992034082E-2</v>
      </c>
    </row>
    <row r="73" spans="1:13">
      <c r="A73" s="34" t="s">
        <v>289</v>
      </c>
      <c r="B73" s="32" t="s">
        <v>326</v>
      </c>
      <c r="C73" t="s">
        <v>128</v>
      </c>
      <c r="D73" s="4">
        <v>2.6470991633520624E-2</v>
      </c>
      <c r="E73" s="4">
        <v>3.7427224840587803E-2</v>
      </c>
      <c r="I73" t="str">
        <v>https://www.insee.fr/fr/statistiques/serie/010764176</v>
      </c>
      <c r="J73" t="str">
        <v>010764176</v>
      </c>
      <c r="K73" t="str">
        <v>Ciment, chaux et plâtre</v>
      </c>
      <c r="L73" s="4">
        <v>2.6470991633520624E-2</v>
      </c>
      <c r="M73" s="4">
        <v>3.7427224840587803E-2</v>
      </c>
    </row>
    <row r="74" spans="1:13">
      <c r="A74" s="34" t="s">
        <v>290</v>
      </c>
      <c r="B74" s="32" t="s">
        <v>327</v>
      </c>
      <c r="C74" t="s">
        <v>258</v>
      </c>
      <c r="D74" s="4">
        <v>-9.5602294455069403E-3</v>
      </c>
      <c r="E74" s="4">
        <v>4.8775998527517128E-2</v>
      </c>
      <c r="I74" t="str">
        <v>https://www.insee.fr/fr/statistiques/serie/001711943</v>
      </c>
      <c r="J74" t="str">
        <v>001711943</v>
      </c>
      <c r="K74" t="str">
        <v>Transports routiers</v>
      </c>
      <c r="L74" s="4">
        <v>2.2526146419951765E-2</v>
      </c>
      <c r="M74" s="4">
        <v>2.6987718164188879E-2</v>
      </c>
    </row>
    <row r="75" spans="1:13">
      <c r="A75" s="34" t="s">
        <v>291</v>
      </c>
      <c r="B75" s="32" t="s">
        <v>328</v>
      </c>
      <c r="C75" t="s">
        <v>129</v>
      </c>
      <c r="D75" s="4">
        <v>-8.4911822338340492E-3</v>
      </c>
      <c r="E75" s="4">
        <v>-2.7546444586803331E-2</v>
      </c>
      <c r="I75" t="str">
        <v>https://www.insee.fr/fr/statistiques/serie/001565195</v>
      </c>
      <c r="J75" t="str">
        <v>001565195</v>
      </c>
      <c r="K75" t="str">
        <v>Travail activités spécialisées</v>
      </c>
      <c r="L75" s="4">
        <v>2.1311232795619084E-2</v>
      </c>
      <c r="M75" s="4">
        <v>4.7828727604008581E-2</v>
      </c>
    </row>
    <row r="76" spans="1:13">
      <c r="A76" s="34" t="s">
        <v>292</v>
      </c>
      <c r="B76" s="32" t="s">
        <v>329</v>
      </c>
      <c r="C76" t="s">
        <v>130</v>
      </c>
      <c r="D76" s="4">
        <v>-3.4975132360019368E-2</v>
      </c>
      <c r="E76" s="4">
        <v>-4.1390728476821126E-3</v>
      </c>
      <c r="I76" t="str">
        <v>https://www.insee.fr/fr/statistiques/serie/010765500</v>
      </c>
      <c r="J76" t="str">
        <v>010765500</v>
      </c>
      <c r="K76" t="str">
        <v>Sables et granulats</v>
      </c>
      <c r="L76" s="4">
        <v>1.9557385486361101E-2</v>
      </c>
      <c r="M76" s="4">
        <v>1.2608621570965761E-2</v>
      </c>
    </row>
    <row r="77" spans="1:13">
      <c r="A77" s="34" t="s">
        <v>293</v>
      </c>
      <c r="B77" s="32" t="s">
        <v>330</v>
      </c>
      <c r="C77" t="s">
        <v>131</v>
      </c>
      <c r="D77" s="4">
        <v>-3.1928084314941318E-2</v>
      </c>
      <c r="E77" s="4">
        <v>-2.710280373831786E-2</v>
      </c>
      <c r="I77" t="str">
        <v>https://www.insee.fr/fr/statistiques/serie/010766292</v>
      </c>
      <c r="J77" t="str">
        <v>010766292</v>
      </c>
      <c r="K77" t="str">
        <v>Réseaux d’assainissement</v>
      </c>
      <c r="L77" s="4">
        <v>1.552795031055898E-2</v>
      </c>
      <c r="M77" s="4">
        <v>1.3639181649101051E-2</v>
      </c>
    </row>
    <row r="78" spans="1:13">
      <c r="A78" s="34" t="s">
        <v>294</v>
      </c>
      <c r="B78" s="32" t="s">
        <v>331</v>
      </c>
      <c r="C78" t="s">
        <v>132</v>
      </c>
      <c r="D78" s="4">
        <v>8.8803761100468837E-3</v>
      </c>
      <c r="E78" s="4">
        <v>3.4530386740350139E-4</v>
      </c>
      <c r="I78" t="str">
        <v>https://www.insee.fr/fr/statistiques/serie/001711009</v>
      </c>
      <c r="J78" t="str">
        <v>001711009</v>
      </c>
      <c r="K78" t="str">
        <v>Matériel</v>
      </c>
      <c r="L78" s="4">
        <v>1.5490258703289683E-2</v>
      </c>
      <c r="M78" s="4">
        <v>2.1526104417670666E-2</v>
      </c>
    </row>
    <row r="79" spans="1:13">
      <c r="A79" s="34" t="s">
        <v>295</v>
      </c>
      <c r="B79" s="32" t="s">
        <v>332</v>
      </c>
      <c r="C79" t="s">
        <v>133</v>
      </c>
      <c r="D79" s="4">
        <v>7.1284673795133369E-3</v>
      </c>
      <c r="E79" s="4">
        <v>1.4517639712769537E-2</v>
      </c>
      <c r="I79" t="str">
        <v>https://www.insee.fr/fr/statistiques/serie/010764160</v>
      </c>
      <c r="J79" t="str">
        <v>010764160</v>
      </c>
      <c r="K79" t="str">
        <v>Plaques, feuilles, tubes et profilés en matières plastiques</v>
      </c>
      <c r="L79" s="4">
        <v>1.3226527570789903E-2</v>
      </c>
      <c r="M79" s="4">
        <v>1.7776946107784575E-2</v>
      </c>
    </row>
    <row r="80" spans="1:13">
      <c r="A80" s="34" t="s">
        <v>296</v>
      </c>
      <c r="B80" s="32" t="s">
        <v>333</v>
      </c>
      <c r="C80" t="s">
        <v>134</v>
      </c>
      <c r="D80" s="4">
        <v>8.314220183486265E-3</v>
      </c>
      <c r="E80" s="4">
        <v>1.6033511483460661E-2</v>
      </c>
      <c r="I80" t="str">
        <v>https://www.insee.fr/fr/statistiques/serie/010766236</v>
      </c>
      <c r="J80" t="str">
        <v>010766236</v>
      </c>
      <c r="K80" t="str">
        <v>Barres crénelées ou nervurées pour béton armé</v>
      </c>
      <c r="L80" s="4">
        <v>1.0889292196007094E-2</v>
      </c>
      <c r="M80" s="4">
        <v>-1.0657193605683735E-2</v>
      </c>
    </row>
    <row r="81" spans="1:13">
      <c r="A81" s="34" t="s">
        <v>297</v>
      </c>
      <c r="B81" s="32" t="s">
        <v>334</v>
      </c>
      <c r="C81" t="s">
        <v>266</v>
      </c>
      <c r="D81" s="4">
        <v>1.552795031055898E-2</v>
      </c>
      <c r="E81" s="4">
        <v>1.3639181649101051E-2</v>
      </c>
      <c r="I81" t="str">
        <v>https://www.insee.fr/fr/statistiques/serie/001711011</v>
      </c>
      <c r="J81" t="str">
        <v>001711011</v>
      </c>
      <c r="K81" t="str">
        <v>Frais divers</v>
      </c>
      <c r="L81" s="4">
        <v>9.6153846153845812E-3</v>
      </c>
      <c r="M81" s="4">
        <v>1.6992353440951513E-2</v>
      </c>
    </row>
    <row r="82" spans="1:13">
      <c r="A82" s="34" t="s">
        <v>298</v>
      </c>
      <c r="B82" s="32" t="s">
        <v>335</v>
      </c>
      <c r="C82" t="s">
        <v>261</v>
      </c>
      <c r="D82" s="4">
        <v>2.6507276507276467E-2</v>
      </c>
      <c r="E82" s="4">
        <v>4.8858204992034082E-2</v>
      </c>
      <c r="I82" t="str">
        <v>https://www.insee.fr/fr/statistiques/serie/010764181</v>
      </c>
      <c r="J82" t="str">
        <v>010764181</v>
      </c>
      <c r="K82" t="str">
        <v>Mortiers et bétons secs</v>
      </c>
      <c r="L82" s="4">
        <v>8.8803761100468837E-3</v>
      </c>
      <c r="M82" s="4">
        <v>3.4530386740350139E-4</v>
      </c>
    </row>
    <row r="83" spans="1:13">
      <c r="A83" s="34" t="s">
        <v>299</v>
      </c>
      <c r="B83" s="32" t="s">
        <v>336</v>
      </c>
      <c r="C83" t="s">
        <v>135</v>
      </c>
      <c r="D83" s="4">
        <v>6.1597281223449318E-2</v>
      </c>
      <c r="E83" s="4">
        <v>4.3859649122806932E-2</v>
      </c>
      <c r="I83" t="str">
        <v>https://www.insee.fr/fr/statistiques/serie/010764172</v>
      </c>
      <c r="J83" t="str">
        <v>010764172</v>
      </c>
      <c r="K83" t="str">
        <v>Tuiles, briques et produits de construction en terre cuite</v>
      </c>
      <c r="L83" s="4">
        <v>8.314220183486265E-3</v>
      </c>
      <c r="M83" s="4">
        <v>1.6033511483460661E-2</v>
      </c>
    </row>
    <row r="84" spans="1:13">
      <c r="A84" s="34" t="s">
        <v>300</v>
      </c>
      <c r="B84" s="32" t="s">
        <v>337</v>
      </c>
      <c r="C84" t="s">
        <v>136</v>
      </c>
      <c r="D84" s="4">
        <v>3.149736147757265E-2</v>
      </c>
      <c r="E84" s="4">
        <v>1.6012810248198228E-3</v>
      </c>
      <c r="I84" t="str">
        <v>https://www.insee.fr/fr/statistiques/serie/010764195</v>
      </c>
      <c r="J84" t="str">
        <v>010764195</v>
      </c>
      <c r="K84" t="str">
        <v>Travaux de fonderie de fonte</v>
      </c>
      <c r="L84" s="4">
        <v>7.1284673795133369E-3</v>
      </c>
      <c r="M84" s="4">
        <v>1.4517639712769537E-2</v>
      </c>
    </row>
    <row r="85" spans="1:13">
      <c r="A85" s="34" t="s">
        <v>301</v>
      </c>
      <c r="B85" s="32" t="s">
        <v>338</v>
      </c>
      <c r="C85" t="s">
        <v>137</v>
      </c>
      <c r="D85" s="4">
        <v>-8.4331253162417408E-4</v>
      </c>
      <c r="E85" s="4">
        <v>-3.0600556373752363E-2</v>
      </c>
      <c r="I85" t="str">
        <v>https://www.insee.fr/fr/statistiques/serie/010764306</v>
      </c>
      <c r="J85" t="str">
        <v>010764306</v>
      </c>
      <c r="K85" t="str">
        <v>Traitement et élimination des déchets non dangereux</v>
      </c>
      <c r="L85" s="4">
        <v>4.3948613928330715E-3</v>
      </c>
      <c r="M85" s="4">
        <v>2.7672085783466027E-2</v>
      </c>
    </row>
    <row r="86" spans="1:13">
      <c r="A86" s="34" t="s">
        <v>302</v>
      </c>
      <c r="B86" s="32" t="s">
        <v>339</v>
      </c>
      <c r="C86" t="s">
        <v>138</v>
      </c>
      <c r="D86" s="4">
        <v>7.8446785096682792E-2</v>
      </c>
      <c r="E86" s="4">
        <v>0.14048212801330018</v>
      </c>
      <c r="I86" t="str">
        <v>https://www.insee.fr/fr/statistiques/serie/010764179</v>
      </c>
      <c r="J86" t="str">
        <v>010764179</v>
      </c>
      <c r="K86" t="str">
        <v>Éléments en béton pour la construction</v>
      </c>
      <c r="L86" s="4">
        <v>-8.4331253162417408E-4</v>
      </c>
      <c r="M86" s="4">
        <v>-3.0600556373752363E-2</v>
      </c>
    </row>
    <row r="87" spans="1:13">
      <c r="A87" s="34" t="s">
        <v>303</v>
      </c>
      <c r="B87" s="32" t="s">
        <v>340</v>
      </c>
      <c r="C87" t="s">
        <v>139</v>
      </c>
      <c r="D87" s="4">
        <v>0.10969170499063186</v>
      </c>
      <c r="E87" s="4">
        <v>0.11711248285322351</v>
      </c>
      <c r="I87" t="str">
        <v>https://www.insee.fr/fr/statistiques/serie/010764228</v>
      </c>
      <c r="J87" t="str">
        <v>010764228</v>
      </c>
      <c r="K87" t="str">
        <v>Appareils d'éclairage électrique</v>
      </c>
      <c r="L87" s="4">
        <v>-5.0439006164768596E-3</v>
      </c>
      <c r="M87" s="4">
        <v>-7.269338303821038E-3</v>
      </c>
    </row>
    <row r="88" spans="1:13">
      <c r="A88" s="34" t="s">
        <v>304</v>
      </c>
      <c r="B88" s="32" t="s">
        <v>341</v>
      </c>
      <c r="C88" t="s">
        <v>140</v>
      </c>
      <c r="D88" s="4">
        <v>0.17282700421940933</v>
      </c>
      <c r="E88" s="4">
        <v>0.16829186281102904</v>
      </c>
      <c r="I88" t="str">
        <v>https://www.insee.fr/fr/statistiques/serie/010765837</v>
      </c>
      <c r="J88" t="str">
        <v>010765837</v>
      </c>
      <c r="K88" t="str">
        <v>Acier pour la construction</v>
      </c>
      <c r="L88" s="4">
        <v>-8.4911822338340492E-3</v>
      </c>
      <c r="M88" s="4">
        <v>-2.7546444586803331E-2</v>
      </c>
    </row>
    <row r="89" spans="1:13">
      <c r="A89" s="34" t="s">
        <v>318</v>
      </c>
      <c r="B89" s="32" t="s">
        <v>342</v>
      </c>
      <c r="C89" t="s">
        <v>141</v>
      </c>
      <c r="D89" s="4">
        <v>-5.0439006164768596E-3</v>
      </c>
      <c r="E89" s="4">
        <v>-7.269338303821038E-3</v>
      </c>
      <c r="I89" t="str">
        <v>https://www.insee.fr/fr/statistiques/serie/010764149</v>
      </c>
      <c r="J89" t="str">
        <v>010764149</v>
      </c>
      <c r="K89" t="str">
        <v>Autres produits chimiques</v>
      </c>
      <c r="L89" s="4">
        <v>-9.5602294455069403E-3</v>
      </c>
      <c r="M89" s="4">
        <v>4.8775998527517128E-2</v>
      </c>
    </row>
    <row r="90" spans="1:13">
      <c r="A90" s="34" t="s">
        <v>305</v>
      </c>
      <c r="B90" s="32" t="s">
        <v>343</v>
      </c>
      <c r="C90" t="s">
        <v>142</v>
      </c>
      <c r="D90" s="4">
        <v>-3.4916201117318413E-2</v>
      </c>
      <c r="E90" s="4">
        <v>-0.16897173782321095</v>
      </c>
      <c r="I90" t="str">
        <v>https://www.insee.fr/fr/statistiques/serie/010763871</v>
      </c>
      <c r="J90" t="str">
        <v>010763871</v>
      </c>
      <c r="K90" t="str">
        <v>Produits de voierie en béton</v>
      </c>
      <c r="L90" s="4">
        <v>-3.1928084314941318E-2</v>
      </c>
      <c r="M90" s="4">
        <v>-2.710280373831786E-2</v>
      </c>
    </row>
    <row r="91" spans="1:13">
      <c r="A91" s="34" t="s">
        <v>306</v>
      </c>
      <c r="B91" s="32" t="s">
        <v>344</v>
      </c>
      <c r="C91" t="s">
        <v>143</v>
      </c>
      <c r="D91" s="4">
        <v>-4.7865268134140937E-2</v>
      </c>
      <c r="E91" s="4">
        <v>-6.5129097766173594E-2</v>
      </c>
      <c r="I91" t="str">
        <v>https://www.insee.fr/fr/statistiques/serie/010764834</v>
      </c>
      <c r="J91" t="str">
        <v>010764834</v>
      </c>
      <c r="K91" t="str">
        <v>Câbles de fibres optiques</v>
      </c>
      <c r="L91" s="4">
        <v>-3.4916201117318413E-2</v>
      </c>
      <c r="M91" s="4">
        <v>-0.16897173782321095</v>
      </c>
    </row>
    <row r="92" spans="1:13">
      <c r="A92" s="34" t="s">
        <v>307</v>
      </c>
      <c r="B92" s="32" t="s">
        <v>345</v>
      </c>
      <c r="C92" t="s">
        <v>144</v>
      </c>
      <c r="D92" s="4">
        <v>3.1263292216078487E-2</v>
      </c>
      <c r="E92" s="4">
        <v>-7.1662571662570729E-3</v>
      </c>
      <c r="I92" t="str">
        <v>https://www.insee.fr/fr/statistiques/serie/010764136</v>
      </c>
      <c r="J92" t="str">
        <v>010764136</v>
      </c>
      <c r="K92" t="str">
        <v>Bitume</v>
      </c>
      <c r="L92" s="4">
        <v>-3.4975132360019368E-2</v>
      </c>
      <c r="M92" s="4">
        <v>-4.1390728476821126E-3</v>
      </c>
    </row>
    <row r="93" spans="1:13">
      <c r="A93" s="34" t="s">
        <v>308</v>
      </c>
      <c r="B93" s="32" t="s">
        <v>346</v>
      </c>
      <c r="C93" t="s">
        <v>145</v>
      </c>
      <c r="D93" s="4">
        <v>4.5031815956926069E-2</v>
      </c>
      <c r="E93" s="4">
        <v>-4.2386185243327934E-2</v>
      </c>
      <c r="I93" t="str">
        <v>https://www.insee.fr/fr/statistiques/serie/010763825</v>
      </c>
      <c r="J93" t="str">
        <v>010763825</v>
      </c>
      <c r="K93" t="str">
        <v>Peintures Industries</v>
      </c>
      <c r="L93" s="4">
        <v>-4.7865268134140937E-2</v>
      </c>
      <c r="M93" s="4">
        <v>-6.5129097766173594E-2</v>
      </c>
    </row>
    <row r="94" spans="1:13">
      <c r="A94" s="34" t="s">
        <v>309</v>
      </c>
      <c r="B94" s="32" t="s">
        <v>347</v>
      </c>
      <c r="C94" t="s">
        <v>148</v>
      </c>
      <c r="D94" s="4">
        <v>4.3948613928330715E-3</v>
      </c>
      <c r="E94" s="4">
        <v>2.7672085783466027E-2</v>
      </c>
      <c r="I94" t="str">
        <v>https://www.insee.fr/fr/statistiques/serie/010764297</v>
      </c>
      <c r="J94" t="str">
        <v>010764297</v>
      </c>
      <c r="K94" t="str">
        <v>Gaz naturel</v>
      </c>
      <c r="L94" s="4">
        <v>-8.182865923933913E-2</v>
      </c>
      <c r="M94" s="4">
        <v>0.35257498585172642</v>
      </c>
    </row>
    <row r="95" spans="1:13">
      <c r="A95" s="34" t="s">
        <v>310</v>
      </c>
      <c r="B95" s="32" t="s">
        <v>348</v>
      </c>
      <c r="C95" t="s">
        <v>149</v>
      </c>
      <c r="D95" s="4">
        <v>3.0523255813953654E-2</v>
      </c>
      <c r="E95" s="4">
        <v>3.730797366495997E-2</v>
      </c>
      <c r="I95" t="str">
        <v>https://www.insee.fr/fr/statistiques/serie/010764291</v>
      </c>
      <c r="J95" t="str">
        <v>010764291</v>
      </c>
      <c r="K95" t="str">
        <v>Électricité vendue aux entreprises consommatrices finales</v>
      </c>
      <c r="L95" s="4">
        <v>-9.5969033635878054E-2</v>
      </c>
      <c r="M95" s="4">
        <v>-0.22972819288070045</v>
      </c>
    </row>
    <row r="96" spans="1:13">
      <c r="A96" s="3"/>
      <c r="L96" s="4"/>
      <c r="M96" s="4"/>
    </row>
    <row r="97" spans="1:42">
      <c r="A97" s="3"/>
      <c r="L97" s="4"/>
      <c r="M97" s="4"/>
    </row>
    <row r="98" spans="1:42">
      <c r="A98" s="3"/>
    </row>
    <row r="99" spans="1:42">
      <c r="A99" s="3"/>
    </row>
    <row r="100" spans="1:42">
      <c r="A100" s="3"/>
      <c r="C100" t="str">
        <f>'A MODIFIER'!E12</f>
        <v>*/2025</v>
      </c>
      <c r="D100" s="4">
        <f>('CUMULS INDICES'!B69/'CUMULS INDICES'!B85)-1</f>
        <v>1.5490258703289683E-2</v>
      </c>
      <c r="E100" s="4">
        <f>('CUMULS INDICES'!C69/'CUMULS INDICES'!C85)-1</f>
        <v>3.6595991867557354E-2</v>
      </c>
      <c r="F100" s="4">
        <f>('CUMULS INDICES'!D69/'CUMULS INDICES'!D85)-1</f>
        <v>2.1311232795619084E-2</v>
      </c>
      <c r="G100" s="4">
        <f>('CUMULS INDICES'!E69/'CUMULS INDICES'!E85)-1</f>
        <v>0.33730051393021365</v>
      </c>
      <c r="H100" s="4">
        <f>('CUMULS INDICES'!F69/'CUMULS INDICES'!F85)-1</f>
        <v>0.19374962748097646</v>
      </c>
      <c r="I100" s="4">
        <f>('CUMULS INDICES'!G69/'CUMULS INDICES'!G85)-1</f>
        <v>9.6153846153845812E-3</v>
      </c>
      <c r="J100" s="4">
        <f>('CUMULS INDICES'!H69/'CUMULS INDICES'!H85)-1</f>
        <v>2.2526146419951765E-2</v>
      </c>
      <c r="K100" s="4">
        <f>('CUMULS INDICES'!I69/'CUMULS INDICES'!I85)-1</f>
        <v>-9.5969033635878054E-2</v>
      </c>
      <c r="L100" s="4">
        <f>('CUMULS INDICES'!J69/'CUMULS INDICES'!J85)-1</f>
        <v>-8.182865923933913E-2</v>
      </c>
      <c r="M100" s="4">
        <f>('CUMULS INDICES'!K69/'CUMULS INDICES'!K85)-1</f>
        <v>0.35607335928372263</v>
      </c>
      <c r="N100" s="4">
        <f>('CUMULS INDICES'!L69/'CUMULS INDICES'!L85)-1</f>
        <v>4.6745562130177554E-2</v>
      </c>
      <c r="O100" s="4">
        <f>('CUMULS INDICES'!M69/'CUMULS INDICES'!M85)-1</f>
        <v>2.7468581687612348E-2</v>
      </c>
      <c r="P100" s="4">
        <f>('CUMULS INDICES'!N69/'CUMULS INDICES'!N85)-1</f>
        <v>3.0242859324881577E-2</v>
      </c>
      <c r="Q100" s="4">
        <f>('CUMULS INDICES'!O69/'CUMULS INDICES'!O85)-1</f>
        <v>1.0889292196007094E-2</v>
      </c>
      <c r="R100" s="4">
        <f>('CUMULS INDICES'!P69/'CUMULS INDICES'!P85)-1</f>
        <v>1.9557385486361101E-2</v>
      </c>
      <c r="S100" s="4">
        <f>('CUMULS INDICES'!Q69/'CUMULS INDICES'!Q85)-1</f>
        <v>1.3226527570789903E-2</v>
      </c>
      <c r="T100" s="4">
        <f>('CUMULS INDICES'!R69/'CUMULS INDICES'!R85)-1</f>
        <v>2.6470991633520624E-2</v>
      </c>
      <c r="U100" s="4">
        <f>('CUMULS INDICES'!S69/'CUMULS INDICES'!S85)-1</f>
        <v>-9.5602294455069403E-3</v>
      </c>
      <c r="V100" s="4">
        <f>('CUMULS INDICES'!T69/'CUMULS INDICES'!T85)-1</f>
        <v>-8.4911822338340492E-3</v>
      </c>
      <c r="W100" s="4">
        <f>('CUMULS INDICES'!U69/'CUMULS INDICES'!U85)-1</f>
        <v>-3.4975132360019368E-2</v>
      </c>
      <c r="X100" s="4">
        <f>('CUMULS INDICES'!V69/'CUMULS INDICES'!V85)-1</f>
        <v>-3.1928084314941318E-2</v>
      </c>
      <c r="Y100" s="4">
        <f>('CUMULS INDICES'!W69/'CUMULS INDICES'!W85)-1</f>
        <v>8.8803761100468837E-3</v>
      </c>
      <c r="Z100" s="4">
        <f>('CUMULS INDICES'!X69/'CUMULS INDICES'!X85)-1</f>
        <v>7.1284673795133369E-3</v>
      </c>
      <c r="AA100" s="4">
        <f>('CUMULS INDICES'!Y69/'CUMULS INDICES'!Y85)-1</f>
        <v>8.314220183486265E-3</v>
      </c>
      <c r="AB100" s="4">
        <f>('CUMULS INDICES'!Z69/'CUMULS INDICES'!Z85)-1</f>
        <v>1.552795031055898E-2</v>
      </c>
      <c r="AC100" s="4">
        <f>('CUMULS INDICES'!AA69/'CUMULS INDICES'!AA85)-1</f>
        <v>2.6507276507276467E-2</v>
      </c>
      <c r="AD100" s="4">
        <f>('CUMULS INDICES'!AB69/'CUMULS INDICES'!AB85)-1</f>
        <v>6.1597281223449318E-2</v>
      </c>
      <c r="AE100" s="4">
        <f>('CUMULS INDICES'!AC69/'CUMULS INDICES'!AC85)-1</f>
        <v>3.149736147757265E-2</v>
      </c>
      <c r="AF100" s="4">
        <f>('CUMULS INDICES'!AD69/'CUMULS INDICES'!AD85)-1</f>
        <v>-8.4331253162417408E-4</v>
      </c>
      <c r="AG100" s="4">
        <f>('CUMULS INDICES'!AE69/'CUMULS INDICES'!AE85)-1</f>
        <v>7.8446785096682792E-2</v>
      </c>
      <c r="AH100" s="4">
        <f>('CUMULS INDICES'!AF69/'CUMULS INDICES'!AF85)-1</f>
        <v>0.10969170499063186</v>
      </c>
      <c r="AI100" s="4">
        <f>('CUMULS INDICES'!AG69/'CUMULS INDICES'!AG85)-1</f>
        <v>0.17282700421940933</v>
      </c>
      <c r="AJ100" s="4">
        <f>('CUMULS INDICES'!AH69/'CUMULS INDICES'!AH85)-1</f>
        <v>-5.0439006164768596E-3</v>
      </c>
      <c r="AK100" s="4">
        <f>('CUMULS INDICES'!AI69/'CUMULS INDICES'!AI85)-1</f>
        <v>-3.4916201117318413E-2</v>
      </c>
      <c r="AL100" s="4">
        <f>('CUMULS INDICES'!AJ69/'CUMULS INDICES'!AJ85)-1</f>
        <v>-4.7865268134140937E-2</v>
      </c>
      <c r="AM100" s="4">
        <f>('CUMULS INDICES'!AK69/'CUMULS INDICES'!AK85)-1</f>
        <v>3.1263292216078487E-2</v>
      </c>
      <c r="AN100" s="4">
        <f>('CUMULS INDICES'!AL69/'CUMULS INDICES'!AL85)-1</f>
        <v>4.5031815956926069E-2</v>
      </c>
      <c r="AO100" s="4">
        <f>('CUMULS INDICES'!AM69/'CUMULS INDICES'!AM85)-1</f>
        <v>4.3948613928330715E-3</v>
      </c>
      <c r="AP100" s="4">
        <f>('CUMULS INDICES'!AN69/'CUMULS INDICES'!AN85)-1</f>
        <v>3.0523255813953654E-2</v>
      </c>
    </row>
    <row r="101" spans="1:42">
      <c r="A101" s="3"/>
      <c r="C101" t="str">
        <f>'A MODIFIER'!E11</f>
        <v>*/2024</v>
      </c>
      <c r="D101" s="4">
        <f>('CUMULS INDICES'!B69/'CUMULS INDICES'!B101)-1</f>
        <v>2.1526104417670666E-2</v>
      </c>
      <c r="E101" s="4">
        <f>('CUMULS INDICES'!C69/'CUMULS INDICES'!C101)-1</f>
        <v>7.3222071868891625E-2</v>
      </c>
      <c r="F101" s="4">
        <f>('CUMULS INDICES'!D69/'CUMULS INDICES'!D101)-1</f>
        <v>4.7828727604008581E-2</v>
      </c>
      <c r="G101" s="4">
        <f>('CUMULS INDICES'!E69/'CUMULS INDICES'!E101)-1</f>
        <v>0.33965587318791468</v>
      </c>
      <c r="H101" s="4">
        <f>('CUMULS INDICES'!F69/'CUMULS INDICES'!F101)-1</f>
        <v>0.10588603401310426</v>
      </c>
      <c r="I101" s="4">
        <f>('CUMULS INDICES'!G69/'CUMULS INDICES'!G101)-1</f>
        <v>1.6992353440951513E-2</v>
      </c>
      <c r="J101" s="4">
        <f>('CUMULS INDICES'!H69/'CUMULS INDICES'!H101)-1</f>
        <v>2.6987718164188879E-2</v>
      </c>
      <c r="K101" s="4">
        <f>('CUMULS INDICES'!I69/'CUMULS INDICES'!I101)-1</f>
        <v>-0.22972819288070045</v>
      </c>
      <c r="L101" s="4">
        <f>('CUMULS INDICES'!J69/'CUMULS INDICES'!J101)-1</f>
        <v>0.35257498585172642</v>
      </c>
      <c r="M101" s="4">
        <f>('CUMULS INDICES'!K69/'CUMULS INDICES'!K101)-1</f>
        <v>0.17981630043018293</v>
      </c>
      <c r="N101" s="4">
        <f>('CUMULS INDICES'!L69/'CUMULS INDICES'!L101)-1</f>
        <v>-3.7671877943101784E-4</v>
      </c>
      <c r="O101" s="4">
        <f>('CUMULS INDICES'!M69/'CUMULS INDICES'!M101)-1</f>
        <v>6.7524715538145985E-2</v>
      </c>
      <c r="P101" s="4">
        <f>('CUMULS INDICES'!N69/'CUMULS INDICES'!N101)-1</f>
        <v>4.1377180793577217E-2</v>
      </c>
      <c r="Q101" s="4">
        <f>('CUMULS INDICES'!O69/'CUMULS INDICES'!O101)-1</f>
        <v>-1.0657193605683735E-2</v>
      </c>
      <c r="R101" s="4">
        <f>('CUMULS INDICES'!P69/'CUMULS INDICES'!P101)-1</f>
        <v>1.2608621570965761E-2</v>
      </c>
      <c r="S101" s="4">
        <f>('CUMULS INDICES'!Q69/'CUMULS INDICES'!Q101)-1</f>
        <v>1.7776946107784575E-2</v>
      </c>
      <c r="T101" s="4">
        <f>('CUMULS INDICES'!R69/'CUMULS INDICES'!R101)-1</f>
        <v>3.7427224840587803E-2</v>
      </c>
      <c r="U101" s="4">
        <f>('CUMULS INDICES'!S69/'CUMULS INDICES'!S101)-1</f>
        <v>4.8775998527517128E-2</v>
      </c>
      <c r="V101" s="4">
        <f>('CUMULS INDICES'!T69/'CUMULS INDICES'!T101)-1</f>
        <v>-2.7546444586803331E-2</v>
      </c>
      <c r="W101" s="4">
        <f>('CUMULS INDICES'!U69/'CUMULS INDICES'!U101)-1</f>
        <v>-4.1390728476821126E-3</v>
      </c>
      <c r="X101" s="4">
        <f>('CUMULS INDICES'!V69/'CUMULS INDICES'!V101)-1</f>
        <v>-2.710280373831786E-2</v>
      </c>
      <c r="Y101" s="4">
        <f>('CUMULS INDICES'!W69/'CUMULS INDICES'!W101)-1</f>
        <v>3.4530386740350139E-4</v>
      </c>
      <c r="Z101" s="4">
        <f>('CUMULS INDICES'!X69/'CUMULS INDICES'!X101)-1</f>
        <v>1.4517639712769537E-2</v>
      </c>
      <c r="AA101" s="4">
        <f>('CUMULS INDICES'!Y69/'CUMULS INDICES'!Y101)-1</f>
        <v>1.6033511483460661E-2</v>
      </c>
      <c r="AB101" s="4">
        <f>('CUMULS INDICES'!Z69/'CUMULS INDICES'!Z101)-1</f>
        <v>1.3639181649101051E-2</v>
      </c>
      <c r="AC101" s="4">
        <f>('CUMULS INDICES'!AA69/'CUMULS INDICES'!AA101)-1</f>
        <v>4.8858204992034082E-2</v>
      </c>
      <c r="AD101" s="4">
        <f>('CUMULS INDICES'!AB69/'CUMULS INDICES'!AB101)-1</f>
        <v>4.3859649122806932E-2</v>
      </c>
      <c r="AE101" s="4">
        <f>('CUMULS INDICES'!AC69/'CUMULS INDICES'!AC101)-1</f>
        <v>1.6012810248198228E-3</v>
      </c>
      <c r="AF101" s="4">
        <f>('CUMULS INDICES'!AD69/'CUMULS INDICES'!AD101)-1</f>
        <v>-3.0600556373752363E-2</v>
      </c>
      <c r="AG101" s="4">
        <f>('CUMULS INDICES'!AE69/'CUMULS INDICES'!AE101)-1</f>
        <v>0.14048212801330018</v>
      </c>
      <c r="AH101" s="4">
        <f>('CUMULS INDICES'!AF69/'CUMULS INDICES'!AF101)-1</f>
        <v>0.11711248285322351</v>
      </c>
      <c r="AI101" s="4">
        <f>('CUMULS INDICES'!AG69/'CUMULS INDICES'!AG101)-1</f>
        <v>0.16829186281102904</v>
      </c>
      <c r="AJ101" s="4">
        <f>('CUMULS INDICES'!AH69/'CUMULS INDICES'!AH101)-1</f>
        <v>-7.269338303821038E-3</v>
      </c>
      <c r="AK101" s="4">
        <f>('CUMULS INDICES'!AI69/'CUMULS INDICES'!AI101)-1</f>
        <v>-0.16897173782321095</v>
      </c>
      <c r="AL101" s="4">
        <f>('CUMULS INDICES'!AJ69/'CUMULS INDICES'!AJ101)-1</f>
        <v>-6.5129097766173594E-2</v>
      </c>
      <c r="AM101" s="4">
        <f>('CUMULS INDICES'!AK69/'CUMULS INDICES'!AK101)-1</f>
        <v>-7.1662571662570729E-3</v>
      </c>
      <c r="AN101" s="4">
        <f>('CUMULS INDICES'!AL69/'CUMULS INDICES'!AL101)-1</f>
        <v>-4.2386185243327934E-2</v>
      </c>
      <c r="AO101" s="4">
        <f>('CUMULS INDICES'!AM69/'CUMULS INDICES'!AM101)-1</f>
        <v>2.7672085783466027E-2</v>
      </c>
      <c r="AP101" s="4">
        <f>('CUMULS INDICES'!AN69/'CUMULS INDICES'!AN101)-1</f>
        <v>3.730797366495997E-2</v>
      </c>
    </row>
    <row r="102" spans="1:42">
      <c r="A102" s="3"/>
    </row>
    <row r="105" spans="1:42">
      <c r="A105" s="248" t="s">
        <v>248</v>
      </c>
      <c r="B105" s="251"/>
      <c r="C105" s="251"/>
      <c r="D105" s="251"/>
      <c r="E105" s="251"/>
    </row>
    <row r="108" spans="1:42">
      <c r="D108" t="str">
        <f>'A MODIFIER'!A11</f>
        <v>*3 mois</v>
      </c>
      <c r="E108" t="str">
        <f>'A MODIFIER'!A12</f>
        <v>*6 mois</v>
      </c>
      <c r="L108" t="str">
        <f>'A MODIFIER'!A11</f>
        <v>*3 mois</v>
      </c>
      <c r="M108" t="str">
        <f>'A MODIFIER'!A12</f>
        <v>*6 mois</v>
      </c>
    </row>
    <row r="109" spans="1:42">
      <c r="A109" s="34" t="s">
        <v>84</v>
      </c>
      <c r="B109" s="32" t="s">
        <v>47</v>
      </c>
      <c r="C109" s="136" t="s">
        <v>115</v>
      </c>
      <c r="D109" s="4" cm="1">
        <f t="array" ref="D109:E147">TRANSPOSE(D152:AP153)</f>
        <v>8.9709762532981241E-3</v>
      </c>
      <c r="E109" s="4">
        <v>2.3696682464453556E-3</v>
      </c>
      <c r="I109" t="str" cm="1">
        <f t="array" ref="I109:M147">_xlfn._xlws.SORT(A109:E147,4,-1, FALSE)</f>
        <v>https://www.fntp.fr/sites/default/files/content/indice_gazole_htt.pdf</v>
      </c>
      <c r="J109" t="str">
        <v>Gazole routier HTT</v>
      </c>
      <c r="K109" t="str">
        <v>Gazole routier HTT</v>
      </c>
      <c r="L109" s="4">
        <v>0.57121933130039126</v>
      </c>
      <c r="M109" s="4">
        <v>0.30464311328091953</v>
      </c>
    </row>
    <row r="110" spans="1:42">
      <c r="A110" s="37" t="s">
        <v>356</v>
      </c>
      <c r="B110">
        <v>8682743</v>
      </c>
      <c r="C110" t="s">
        <v>116</v>
      </c>
      <c r="D110" s="4">
        <v>5.6258790436005679E-3</v>
      </c>
      <c r="E110" s="4">
        <v>2.0758768790264837E-2</v>
      </c>
      <c r="I110" t="str">
        <v>https://www.insee.fr/fr/statistiques/serie/010777519</v>
      </c>
      <c r="J110" t="str">
        <v>010777519</v>
      </c>
      <c r="K110" t="str">
        <v>GNR pour les Travaux Publics</v>
      </c>
      <c r="L110" s="4">
        <v>0.45688714254529583</v>
      </c>
      <c r="M110" s="4">
        <v>0.28982351592940625</v>
      </c>
    </row>
    <row r="111" spans="1:42">
      <c r="A111" s="34" t="s">
        <v>85</v>
      </c>
      <c r="B111" s="32" t="s">
        <v>49</v>
      </c>
      <c r="C111" t="s">
        <v>117</v>
      </c>
      <c r="D111" s="4">
        <v>4.1172196657786042E-3</v>
      </c>
      <c r="E111" s="4">
        <v>1.0995723885155684E-2</v>
      </c>
      <c r="I111" t="str">
        <v>https://www.insee.fr/fr/statistiques/serie/010764297</v>
      </c>
      <c r="J111" t="str">
        <v>010764297</v>
      </c>
      <c r="K111" t="str">
        <v>Gaz naturel</v>
      </c>
      <c r="L111" s="4">
        <v>0.43821712268314217</v>
      </c>
      <c r="M111" s="4">
        <v>0.13800205973223489</v>
      </c>
    </row>
    <row r="112" spans="1:42">
      <c r="A112" s="33" t="s">
        <v>279</v>
      </c>
      <c r="B112" s="32" t="s">
        <v>317</v>
      </c>
      <c r="C112" t="s">
        <v>316</v>
      </c>
      <c r="D112" s="4">
        <v>0.45688714254529583</v>
      </c>
      <c r="E112" s="4">
        <v>0.28982351592940625</v>
      </c>
      <c r="I112" t="str">
        <v>https://www.insee.fr/fr/statistiques/serie/010764136</v>
      </c>
      <c r="J112" t="str">
        <v>010764136</v>
      </c>
      <c r="K112" t="str">
        <v>Bitume</v>
      </c>
      <c r="L112" s="4">
        <v>0.3837288135593222</v>
      </c>
      <c r="M112" s="4">
        <v>4.689593568557382E-2</v>
      </c>
    </row>
    <row r="113" spans="1:13">
      <c r="A113" s="34" t="s">
        <v>86</v>
      </c>
      <c r="B113" s="32" t="s">
        <v>50</v>
      </c>
      <c r="C113" t="s">
        <v>118</v>
      </c>
      <c r="D113" s="4">
        <v>0.30985729386892169</v>
      </c>
      <c r="E113" s="4">
        <v>0.16876995336553735</v>
      </c>
      <c r="I113" t="str">
        <v>https://www.insee.fr/fr/statistiques/serie/010764143</v>
      </c>
      <c r="J113" t="str">
        <v>010764143</v>
      </c>
      <c r="K113" t="str">
        <v>Matières plastiques sous formes primaires</v>
      </c>
      <c r="L113" s="4">
        <v>0.31210443037974689</v>
      </c>
      <c r="M113" s="4">
        <v>9.3545369504209441E-2</v>
      </c>
    </row>
    <row r="114" spans="1:13">
      <c r="A114" s="34" t="s">
        <v>87</v>
      </c>
      <c r="B114" s="32" t="s">
        <v>51</v>
      </c>
      <c r="C114" t="s">
        <v>119</v>
      </c>
      <c r="D114" s="4">
        <v>1.2328383300644452E-2</v>
      </c>
      <c r="E114" s="4">
        <v>1.3943112102621225E-3</v>
      </c>
      <c r="I114" t="str">
        <v>https://www.insee.fr/fr/statistiques/serie/001764283</v>
      </c>
      <c r="J114" t="str">
        <v>001764283</v>
      </c>
      <c r="K114" t="str">
        <v>Gazole</v>
      </c>
      <c r="L114" s="4">
        <v>0.30985729386892169</v>
      </c>
      <c r="M114" s="4">
        <v>0.16876995336553735</v>
      </c>
    </row>
    <row r="115" spans="1:13">
      <c r="A115" s="34" t="s">
        <v>88</v>
      </c>
      <c r="B115" s="32" t="s">
        <v>52</v>
      </c>
      <c r="C115" t="s">
        <v>120</v>
      </c>
      <c r="D115" s="4">
        <v>1.9373673036093386E-2</v>
      </c>
      <c r="E115" s="4">
        <v>1.1566072852964737E-2</v>
      </c>
      <c r="I115" t="str">
        <v>https://www.insee.fr/fr/statistiques/serie/010763845</v>
      </c>
      <c r="J115" t="str">
        <v>010763845</v>
      </c>
      <c r="K115" t="str">
        <v>Tubes, tuyaux en matière plastique</v>
      </c>
      <c r="L115" s="4">
        <v>9.468438538205981E-2</v>
      </c>
      <c r="M115" s="4">
        <v>3.3776028857189777E-2</v>
      </c>
    </row>
    <row r="116" spans="1:13">
      <c r="A116" s="34" t="s">
        <v>280</v>
      </c>
      <c r="B116" s="186" t="s">
        <v>320</v>
      </c>
      <c r="C116" t="s">
        <v>121</v>
      </c>
      <c r="D116" s="4">
        <v>-0.16633266533066127</v>
      </c>
      <c r="E116" s="4">
        <v>0.28211116300794026</v>
      </c>
      <c r="I116" t="str">
        <v>https://www.insee.fr/fr/statistiques/serie/010764160</v>
      </c>
      <c r="J116" t="str">
        <v>010764160</v>
      </c>
      <c r="K116" t="str">
        <v>Plaques, feuilles, tubes et profilés en matières plastiques</v>
      </c>
      <c r="L116" s="4">
        <v>7.6504481434058746E-2</v>
      </c>
      <c r="M116" s="4">
        <v>1.5021123454858287E-2</v>
      </c>
    </row>
    <row r="117" spans="1:13">
      <c r="A117" s="158" t="s">
        <v>281</v>
      </c>
      <c r="B117" s="186" t="s">
        <v>321</v>
      </c>
      <c r="C117" t="s">
        <v>263</v>
      </c>
      <c r="D117" s="4">
        <v>0.43821712268314217</v>
      </c>
      <c r="E117" s="4">
        <v>0.13800205973223489</v>
      </c>
      <c r="I117" t="str">
        <v>https://www.insee.fr/fr/statistiques/serie/010766236</v>
      </c>
      <c r="J117" t="str">
        <v>010766236</v>
      </c>
      <c r="K117" t="str">
        <v>Barres crénelées ou nervurées pour béton armé</v>
      </c>
      <c r="L117" s="4">
        <v>6.7730634488127661E-2</v>
      </c>
      <c r="M117" s="4">
        <v>1.0654490106544845E-2</v>
      </c>
    </row>
    <row r="118" spans="1:13" ht="30">
      <c r="A118" s="34" t="s">
        <v>90</v>
      </c>
      <c r="B118" s="32" t="s">
        <v>55</v>
      </c>
      <c r="C118" t="s">
        <v>55</v>
      </c>
      <c r="D118" s="4">
        <v>0.57121933130039126</v>
      </c>
      <c r="E118" s="4">
        <v>0.30464311328091953</v>
      </c>
      <c r="I118" t="str">
        <v>https://www.insee.fr/fr/statistiques/serie/010763881</v>
      </c>
      <c r="J118" t="str">
        <v>010763881</v>
      </c>
      <c r="K118" t="str">
        <v>Produits sidérurgiques en acier non allié</v>
      </c>
      <c r="L118" s="4">
        <v>6.48745519713263E-2</v>
      </c>
      <c r="M118" s="4">
        <v>3.7831021437578549E-2</v>
      </c>
    </row>
    <row r="119" spans="1:13">
      <c r="A119" s="34" t="s">
        <v>282</v>
      </c>
      <c r="B119" s="32" t="s">
        <v>322</v>
      </c>
      <c r="C119" t="s">
        <v>122</v>
      </c>
      <c r="D119" s="4">
        <v>9.468438538205981E-2</v>
      </c>
      <c r="E119" s="4">
        <v>3.3776028857189777E-2</v>
      </c>
      <c r="I119" t="str">
        <v>https://www.insee.fr/fr/statistiques/serie/010765839</v>
      </c>
      <c r="J119" t="str">
        <v>010765839</v>
      </c>
      <c r="K119" t="str">
        <v>Tôles quarto et autres produits plats en aciers non alliés de qualité</v>
      </c>
      <c r="L119" s="4">
        <v>5.9586542359140626E-2</v>
      </c>
      <c r="M119" s="4">
        <v>5.4586965545869726E-2</v>
      </c>
    </row>
    <row r="120" spans="1:13">
      <c r="A120" s="34" t="s">
        <v>284</v>
      </c>
      <c r="B120" s="186" t="s">
        <v>283</v>
      </c>
      <c r="C120" t="s">
        <v>123</v>
      </c>
      <c r="D120" s="4">
        <v>3.2116788321168155E-3</v>
      </c>
      <c r="E120" s="4">
        <v>9.415918787700539E-3</v>
      </c>
      <c r="I120" t="str">
        <v>https://www.insee.fr/fr/statistiques/serie/010764224</v>
      </c>
      <c r="J120" t="str">
        <v>010764224</v>
      </c>
      <c r="K120" t="str">
        <v>Matériel de distribution et de commande électrique</v>
      </c>
      <c r="L120" s="4">
        <v>5.9339008512769187E-2</v>
      </c>
      <c r="M120" s="4">
        <v>9.5352243973898076E-2</v>
      </c>
    </row>
    <row r="121" spans="1:13">
      <c r="A121" s="34" t="s">
        <v>285</v>
      </c>
      <c r="B121" s="186" t="s">
        <v>323</v>
      </c>
      <c r="C121" t="s">
        <v>124</v>
      </c>
      <c r="D121" s="4">
        <v>2.4371859296482334E-2</v>
      </c>
      <c r="E121" s="4">
        <v>2.077790447231731E-2</v>
      </c>
      <c r="I121" t="str">
        <v>https://www.insee.fr/fr/statistiques/serie/010764301</v>
      </c>
      <c r="J121" t="str">
        <v>010764301</v>
      </c>
      <c r="K121" t="str">
        <v>Collecte, traitement et élimination des déchets ; récupération de matériaux</v>
      </c>
      <c r="L121" s="4">
        <v>4.5757575757575886E-2</v>
      </c>
      <c r="M121" s="4">
        <v>4.4076708939065901E-2</v>
      </c>
    </row>
    <row r="122" spans="1:13">
      <c r="A122" s="34" t="s">
        <v>286</v>
      </c>
      <c r="B122" s="186" t="s">
        <v>324</v>
      </c>
      <c r="C122" t="s">
        <v>125</v>
      </c>
      <c r="D122" s="4">
        <v>6.7730634488127661E-2</v>
      </c>
      <c r="E122" s="4">
        <v>1.0654490106544845E-2</v>
      </c>
      <c r="I122" t="str">
        <v>https://www.insee.fr/fr/statistiques/serie/010763930</v>
      </c>
      <c r="J122" t="str">
        <v>010763930</v>
      </c>
      <c r="K122" t="str">
        <v>Fils et câbles d'énergie</v>
      </c>
      <c r="L122" s="4">
        <v>3.7882589061716043E-2</v>
      </c>
      <c r="M122" s="4">
        <v>8.2056747036099775E-2</v>
      </c>
    </row>
    <row r="123" spans="1:13">
      <c r="A123" s="34" t="s">
        <v>287</v>
      </c>
      <c r="B123" s="195" t="s">
        <v>319</v>
      </c>
      <c r="C123" t="s">
        <v>126</v>
      </c>
      <c r="D123" s="4">
        <v>2.3050654524758185E-2</v>
      </c>
      <c r="E123" s="4">
        <v>2.302489566844157E-2</v>
      </c>
      <c r="I123" t="str">
        <v>https://www.insee.fr/fr/statistiques/serie/010764149</v>
      </c>
      <c r="J123" t="str">
        <v>010764149</v>
      </c>
      <c r="K123" t="str">
        <v>Autres produits chimiques</v>
      </c>
      <c r="L123" s="4">
        <v>3.4441449535789204E-2</v>
      </c>
      <c r="M123" s="4">
        <v>3.9957134109001924E-2</v>
      </c>
    </row>
    <row r="124" spans="1:13">
      <c r="A124" s="34" t="s">
        <v>288</v>
      </c>
      <c r="B124" s="32" t="s">
        <v>325</v>
      </c>
      <c r="C124" t="s">
        <v>127</v>
      </c>
      <c r="D124" s="4">
        <v>7.6504481434058746E-2</v>
      </c>
      <c r="E124" s="4">
        <v>1.5021123454858287E-2</v>
      </c>
      <c r="I124" t="str">
        <v>https://www.insee.fr/fr/statistiques/serie/010764223</v>
      </c>
      <c r="J124" t="str">
        <v>010764223</v>
      </c>
      <c r="K124" t="str">
        <v>Moteurs, génératrices, transfo. électr., matér. distrib., cmde électr.</v>
      </c>
      <c r="L124" s="4">
        <v>3.3307107264620939E-2</v>
      </c>
      <c r="M124" s="4">
        <v>6.5265182742511696E-2</v>
      </c>
    </row>
    <row r="125" spans="1:13">
      <c r="A125" s="34" t="s">
        <v>289</v>
      </c>
      <c r="B125" s="32" t="s">
        <v>326</v>
      </c>
      <c r="C125" t="s">
        <v>128</v>
      </c>
      <c r="D125" s="4">
        <v>1.4905149051490652E-2</v>
      </c>
      <c r="E125" s="4">
        <v>3.3595922150138957E-2</v>
      </c>
      <c r="I125" t="str">
        <v>https://www.insee.fr/fr/statistiques/serie/010764195</v>
      </c>
      <c r="J125" t="str">
        <v>010764195</v>
      </c>
      <c r="K125" t="str">
        <v>Travaux de fonderie de fonte</v>
      </c>
      <c r="L125" s="4">
        <v>2.5006512112529355E-2</v>
      </c>
      <c r="M125" s="4">
        <v>5.9523809523811533E-3</v>
      </c>
    </row>
    <row r="126" spans="1:13">
      <c r="A126" s="34" t="s">
        <v>290</v>
      </c>
      <c r="B126" s="32" t="s">
        <v>327</v>
      </c>
      <c r="C126" t="s">
        <v>258</v>
      </c>
      <c r="D126" s="4">
        <v>3.4441449535789204E-2</v>
      </c>
      <c r="E126" s="4">
        <v>3.9957134109001924E-2</v>
      </c>
      <c r="I126" t="str">
        <v>https://www.insee.fr/fr/statistiques/serie/010764181</v>
      </c>
      <c r="J126" t="str">
        <v>010764181</v>
      </c>
      <c r="K126" t="str">
        <v>Mortiers et bétons secs</v>
      </c>
      <c r="L126" s="4">
        <v>2.4890190336749551E-2</v>
      </c>
      <c r="M126" s="4">
        <v>7.5768614308611149E-3</v>
      </c>
    </row>
    <row r="127" spans="1:13">
      <c r="A127" s="34" t="s">
        <v>291</v>
      </c>
      <c r="B127" s="32" t="s">
        <v>328</v>
      </c>
      <c r="C127" t="s">
        <v>129</v>
      </c>
      <c r="D127" s="4">
        <v>1.0328292143120477E-2</v>
      </c>
      <c r="E127" s="4">
        <v>-6.1998541210794844E-3</v>
      </c>
      <c r="I127" t="str">
        <v>https://www.insee.fr/fr/statistiques/serie/010764180</v>
      </c>
      <c r="J127" t="str">
        <v>010764180</v>
      </c>
      <c r="K127" t="str">
        <v>Béton prêt à l'emploi</v>
      </c>
      <c r="L127" s="4">
        <v>2.4371859296482334E-2</v>
      </c>
      <c r="M127" s="4">
        <v>2.077790447231731E-2</v>
      </c>
    </row>
    <row r="128" spans="1:13">
      <c r="A128" s="34" t="s">
        <v>292</v>
      </c>
      <c r="B128" s="32" t="s">
        <v>329</v>
      </c>
      <c r="C128" t="s">
        <v>130</v>
      </c>
      <c r="D128" s="4">
        <v>0.3837288135593222</v>
      </c>
      <c r="E128" s="4">
        <v>4.689593568557382E-2</v>
      </c>
      <c r="I128" t="str">
        <v>https://www.insee.fr/fr/statistiques/serie/010765500</v>
      </c>
      <c r="J128" t="str">
        <v>010765500</v>
      </c>
      <c r="K128" t="str">
        <v>Sables et granulats</v>
      </c>
      <c r="L128" s="4">
        <v>2.3050654524758185E-2</v>
      </c>
      <c r="M128" s="4">
        <v>2.302489566844157E-2</v>
      </c>
    </row>
    <row r="129" spans="1:13">
      <c r="A129" s="34" t="s">
        <v>293</v>
      </c>
      <c r="B129" s="32" t="s">
        <v>330</v>
      </c>
      <c r="C129" t="s">
        <v>131</v>
      </c>
      <c r="D129" s="4">
        <v>-3.3995815899581561E-2</v>
      </c>
      <c r="E129" s="4">
        <v>-4.4605413648494019E-2</v>
      </c>
      <c r="I129" t="str">
        <v>https://www.insee.fr/fr/statistiques/serie/010764228</v>
      </c>
      <c r="J129" t="str">
        <v>010764228</v>
      </c>
      <c r="K129" t="str">
        <v>Appareils d'éclairage électrique</v>
      </c>
      <c r="L129" s="4">
        <v>2.0012706480305065E-2</v>
      </c>
      <c r="M129" s="4">
        <v>-1.1041990668740342E-2</v>
      </c>
    </row>
    <row r="130" spans="1:13">
      <c r="A130" s="34" t="s">
        <v>294</v>
      </c>
      <c r="B130" s="32" t="s">
        <v>331</v>
      </c>
      <c r="C130" t="s">
        <v>132</v>
      </c>
      <c r="D130" s="4">
        <v>2.4890190336749551E-2</v>
      </c>
      <c r="E130" s="4">
        <v>7.5768614308611149E-3</v>
      </c>
      <c r="I130" t="str">
        <v>https://www.insee.fr/fr/statistiques/serie/001711943</v>
      </c>
      <c r="J130" t="str">
        <v>001711943</v>
      </c>
      <c r="K130" t="str">
        <v>Transports routiers</v>
      </c>
      <c r="L130" s="4">
        <v>1.9373673036093386E-2</v>
      </c>
      <c r="M130" s="4">
        <v>1.1566072852964737E-2</v>
      </c>
    </row>
    <row r="131" spans="1:13">
      <c r="A131" s="34" t="s">
        <v>295</v>
      </c>
      <c r="B131" s="32" t="s">
        <v>332</v>
      </c>
      <c r="C131" t="s">
        <v>133</v>
      </c>
      <c r="D131" s="4">
        <v>2.5006512112529355E-2</v>
      </c>
      <c r="E131" s="4">
        <v>5.9523809523811533E-3</v>
      </c>
      <c r="I131" t="str">
        <v>https://www.insee.fr/fr/statistiques/serie/010764176</v>
      </c>
      <c r="J131" t="str">
        <v>010764176</v>
      </c>
      <c r="K131" t="str">
        <v>Ciment, chaux et plâtre</v>
      </c>
      <c r="L131" s="4">
        <v>1.4905149051490652E-2</v>
      </c>
      <c r="M131" s="4">
        <v>3.3595922150138957E-2</v>
      </c>
    </row>
    <row r="132" spans="1:13">
      <c r="A132" s="34" t="s">
        <v>296</v>
      </c>
      <c r="B132" s="32" t="s">
        <v>333</v>
      </c>
      <c r="C132" t="s">
        <v>134</v>
      </c>
      <c r="D132" s="4">
        <v>6.4377682403433667E-3</v>
      </c>
      <c r="E132" s="4">
        <v>3.8172491947989773E-3</v>
      </c>
      <c r="I132" t="str">
        <v>https://www.insee.fr/fr/statistiques/serie/010764187</v>
      </c>
      <c r="J132" t="str">
        <v>010764187</v>
      </c>
      <c r="K132" t="str">
        <v>Tubes, tuyaux, profilés creux et accessoires correspondants en acier</v>
      </c>
      <c r="L132" s="4">
        <v>1.4539579967689953E-2</v>
      </c>
      <c r="M132" s="4">
        <v>2.6478254904650722E-2</v>
      </c>
    </row>
    <row r="133" spans="1:13">
      <c r="A133" s="34" t="s">
        <v>297</v>
      </c>
      <c r="B133" s="32" t="s">
        <v>334</v>
      </c>
      <c r="C133" t="s">
        <v>266</v>
      </c>
      <c r="D133" s="4">
        <v>1.1071060762101181E-2</v>
      </c>
      <c r="E133" s="4">
        <v>1.4020511489029941E-2</v>
      </c>
      <c r="I133" t="str">
        <v>https://www.insee.fr/fr/statistiques/serie/010764834</v>
      </c>
      <c r="J133" t="str">
        <v>010764834</v>
      </c>
      <c r="K133" t="str">
        <v>Câbles de fibres optiques</v>
      </c>
      <c r="L133" s="4">
        <v>1.3765182186235014E-2</v>
      </c>
      <c r="M133" s="4">
        <v>2.4183796856105388E-3</v>
      </c>
    </row>
    <row r="134" spans="1:13">
      <c r="A134" s="34" t="s">
        <v>298</v>
      </c>
      <c r="B134" s="32" t="s">
        <v>335</v>
      </c>
      <c r="C134" t="s">
        <v>261</v>
      </c>
      <c r="D134" s="4">
        <v>8.7768969422423737E-3</v>
      </c>
      <c r="E134" s="4">
        <v>1.3716245177882502E-2</v>
      </c>
      <c r="I134" t="str">
        <v>https://www.insee.fr/fr/statistiques/serie/001711011</v>
      </c>
      <c r="J134" t="str">
        <v>001711011</v>
      </c>
      <c r="K134" t="str">
        <v>Frais divers</v>
      </c>
      <c r="L134" s="4">
        <v>1.2328383300644452E-2</v>
      </c>
      <c r="M134" s="4">
        <v>1.3943112102621225E-3</v>
      </c>
    </row>
    <row r="135" spans="1:13">
      <c r="A135" s="34" t="s">
        <v>299</v>
      </c>
      <c r="B135" s="32" t="s">
        <v>336</v>
      </c>
      <c r="C135" t="s">
        <v>135</v>
      </c>
      <c r="D135" s="4">
        <v>0.31210443037974689</v>
      </c>
      <c r="E135" s="4">
        <v>9.3545369504209441E-2</v>
      </c>
      <c r="I135" t="str">
        <v>https://www.insee.fr/fr/statistiques/serie/010766292</v>
      </c>
      <c r="J135" t="str">
        <v>010766292</v>
      </c>
      <c r="K135" t="str">
        <v>Réseaux d’assainissement</v>
      </c>
      <c r="L135" s="4">
        <v>1.1071060762101181E-2</v>
      </c>
      <c r="M135" s="4">
        <v>1.4020511489029941E-2</v>
      </c>
    </row>
    <row r="136" spans="1:13">
      <c r="A136" s="34" t="s">
        <v>300</v>
      </c>
      <c r="B136" s="32" t="s">
        <v>337</v>
      </c>
      <c r="C136" t="s">
        <v>136</v>
      </c>
      <c r="D136" s="4">
        <v>1.4539579967689953E-2</v>
      </c>
      <c r="E136" s="4">
        <v>2.6478254904650722E-2</v>
      </c>
      <c r="I136" t="str">
        <v>https://www.insee.fr/fr/statistiques/serie/010765837</v>
      </c>
      <c r="J136" t="str">
        <v>010765837</v>
      </c>
      <c r="K136" t="str">
        <v>Acier pour la construction</v>
      </c>
      <c r="L136" s="4">
        <v>1.0328292143120477E-2</v>
      </c>
      <c r="M136" s="4">
        <v>-6.1998541210794844E-3</v>
      </c>
    </row>
    <row r="137" spans="1:13">
      <c r="A137" s="34" t="s">
        <v>301</v>
      </c>
      <c r="B137" s="32" t="s">
        <v>338</v>
      </c>
      <c r="C137" t="s">
        <v>137</v>
      </c>
      <c r="D137" s="4">
        <v>-3.9347948285554102E-3</v>
      </c>
      <c r="E137" s="4">
        <v>-2.8081999438359651E-3</v>
      </c>
      <c r="I137" t="str">
        <v>https://www.insee.fr/fr/statistiques/serie/001711009</v>
      </c>
      <c r="J137" t="str">
        <v>001711009</v>
      </c>
      <c r="K137" t="str">
        <v>Matériel</v>
      </c>
      <c r="L137" s="4">
        <v>8.9709762532981241E-3</v>
      </c>
      <c r="M137" s="4">
        <v>2.3696682464453556E-3</v>
      </c>
    </row>
    <row r="138" spans="1:13">
      <c r="A138" s="34" t="s">
        <v>302</v>
      </c>
      <c r="B138" s="32" t="s">
        <v>339</v>
      </c>
      <c r="C138" t="s">
        <v>138</v>
      </c>
      <c r="D138" s="4">
        <v>3.7882589061716043E-2</v>
      </c>
      <c r="E138" s="4">
        <v>8.2056747036099775E-2</v>
      </c>
      <c r="I138" t="str">
        <v>https://www.insee.fr/fr/statistiques/serie/010764101</v>
      </c>
      <c r="J138" t="str">
        <v>010764101</v>
      </c>
      <c r="K138" t="str">
        <v>Autres textiles</v>
      </c>
      <c r="L138" s="4">
        <v>8.7768969422423737E-3</v>
      </c>
      <c r="M138" s="4">
        <v>1.3716245177882502E-2</v>
      </c>
    </row>
    <row r="139" spans="1:13">
      <c r="A139" s="34" t="s">
        <v>303</v>
      </c>
      <c r="B139" s="32" t="s">
        <v>340</v>
      </c>
      <c r="C139" t="s">
        <v>139</v>
      </c>
      <c r="D139" s="4">
        <v>3.3307107264620939E-2</v>
      </c>
      <c r="E139" s="4">
        <v>6.5265182742511696E-2</v>
      </c>
      <c r="I139" t="str">
        <v>https://www.insee.fr/fr/statistiques/serie/010764172</v>
      </c>
      <c r="J139" t="str">
        <v>010764172</v>
      </c>
      <c r="K139" t="str">
        <v>Tuiles, briques et produits de construction en terre cuite</v>
      </c>
      <c r="L139" s="4">
        <v>6.4377682403433667E-3</v>
      </c>
      <c r="M139" s="4">
        <v>3.8172491947989773E-3</v>
      </c>
    </row>
    <row r="140" spans="1:13">
      <c r="A140" s="34" t="s">
        <v>304</v>
      </c>
      <c r="B140" s="32" t="s">
        <v>341</v>
      </c>
      <c r="C140" t="s">
        <v>140</v>
      </c>
      <c r="D140" s="4">
        <v>5.9339008512769187E-2</v>
      </c>
      <c r="E140" s="4">
        <v>9.5352243973898076E-2</v>
      </c>
      <c r="I140" t="str">
        <v>https://www.insee.fr/fr/statistiques/8682743</v>
      </c>
      <c r="J140">
        <v>8682743</v>
      </c>
      <c r="K140" t="str">
        <v>Travail</v>
      </c>
      <c r="L140" s="4">
        <v>5.6258790436005679E-3</v>
      </c>
      <c r="M140" s="4">
        <v>2.0758768790264837E-2</v>
      </c>
    </row>
    <row r="141" spans="1:13">
      <c r="A141" s="34" t="s">
        <v>318</v>
      </c>
      <c r="B141" s="32" t="s">
        <v>342</v>
      </c>
      <c r="C141" t="s">
        <v>141</v>
      </c>
      <c r="D141" s="4">
        <v>2.0012706480305065E-2</v>
      </c>
      <c r="E141" s="4">
        <v>-1.1041990668740342E-2</v>
      </c>
      <c r="I141" t="str">
        <v>https://www.insee.fr/fr/statistiques/serie/001565195</v>
      </c>
      <c r="J141" t="str">
        <v>001565195</v>
      </c>
      <c r="K141" t="str">
        <v>Travail activités spécialisées</v>
      </c>
      <c r="L141" s="4">
        <v>4.1172196657786042E-3</v>
      </c>
      <c r="M141" s="4">
        <v>1.0995723885155684E-2</v>
      </c>
    </row>
    <row r="142" spans="1:13">
      <c r="A142" s="34" t="s">
        <v>305</v>
      </c>
      <c r="B142" s="32" t="s">
        <v>343</v>
      </c>
      <c r="C142" t="s">
        <v>142</v>
      </c>
      <c r="D142" s="4">
        <v>1.3765182186235014E-2</v>
      </c>
      <c r="E142" s="4">
        <v>2.4183796856105388E-3</v>
      </c>
      <c r="I142" t="str">
        <v>https://www.insee.fr/fr/statistiques/serie/010764306</v>
      </c>
      <c r="J142" t="str">
        <v>010764306</v>
      </c>
      <c r="K142" t="str">
        <v>Traitement et élimination des déchets non dangereux</v>
      </c>
      <c r="L142" s="4">
        <v>3.9414414414415955E-3</v>
      </c>
      <c r="M142" s="4">
        <v>3.2417195207894434E-3</v>
      </c>
    </row>
    <row r="143" spans="1:13">
      <c r="A143" s="34" t="s">
        <v>306</v>
      </c>
      <c r="B143" s="32" t="s">
        <v>344</v>
      </c>
      <c r="C143" t="s">
        <v>143</v>
      </c>
      <c r="D143" s="4">
        <v>-2.6168699186991939E-2</v>
      </c>
      <c r="E143" s="4">
        <v>-4.2755051749630457E-2</v>
      </c>
      <c r="I143" t="str">
        <v>https://www.insee.fr/fr/statistiques/serie/010764116#Tableau</v>
      </c>
      <c r="J143" t="str">
        <v> 010764116</v>
      </c>
      <c r="K143" t="str">
        <v>Ensemble des produits du sciage</v>
      </c>
      <c r="L143" s="4">
        <v>3.2116788321168155E-3</v>
      </c>
      <c r="M143" s="4">
        <v>9.415918787700539E-3</v>
      </c>
    </row>
    <row r="144" spans="1:13">
      <c r="A144" s="34" t="s">
        <v>307</v>
      </c>
      <c r="B144" s="32" t="s">
        <v>345</v>
      </c>
      <c r="C144" t="s">
        <v>144</v>
      </c>
      <c r="D144" s="4">
        <v>6.48745519713263E-2</v>
      </c>
      <c r="E144" s="4">
        <v>3.7831021437578549E-2</v>
      </c>
      <c r="I144" t="str">
        <v>https://www.insee.fr/fr/statistiques/serie/010764179</v>
      </c>
      <c r="J144" t="str">
        <v>010764179</v>
      </c>
      <c r="K144" t="str">
        <v>Éléments en béton pour la construction</v>
      </c>
      <c r="L144" s="4">
        <v>-3.9347948285554102E-3</v>
      </c>
      <c r="M144" s="4">
        <v>-2.8081999438359651E-3</v>
      </c>
    </row>
    <row r="145" spans="1:42">
      <c r="A145" s="34" t="s">
        <v>308</v>
      </c>
      <c r="B145" s="32" t="s">
        <v>346</v>
      </c>
      <c r="C145" t="s">
        <v>145</v>
      </c>
      <c r="D145" s="4">
        <v>5.9586542359140626E-2</v>
      </c>
      <c r="E145" s="4">
        <v>5.4586965545869726E-2</v>
      </c>
      <c r="I145" t="str">
        <v>https://www.insee.fr/fr/statistiques/serie/010763825</v>
      </c>
      <c r="J145" t="str">
        <v>010763825</v>
      </c>
      <c r="K145" t="str">
        <v>Peintures Industries</v>
      </c>
      <c r="L145" s="4">
        <v>-2.6168699186991939E-2</v>
      </c>
      <c r="M145" s="4">
        <v>-4.2755051749630457E-2</v>
      </c>
    </row>
    <row r="146" spans="1:42">
      <c r="A146" s="34" t="s">
        <v>309</v>
      </c>
      <c r="B146" s="32" t="s">
        <v>347</v>
      </c>
      <c r="C146" t="s">
        <v>148</v>
      </c>
      <c r="D146" s="4">
        <v>3.9414414414415955E-3</v>
      </c>
      <c r="E146" s="4">
        <v>3.2417195207894434E-3</v>
      </c>
      <c r="I146" t="str">
        <v>https://www.insee.fr/fr/statistiques/serie/010763871</v>
      </c>
      <c r="J146" t="str">
        <v>010763871</v>
      </c>
      <c r="K146" t="str">
        <v>Produits de voierie en béton</v>
      </c>
      <c r="L146" s="4">
        <v>-3.3995815899581561E-2</v>
      </c>
      <c r="M146" s="4">
        <v>-4.4605413648494019E-2</v>
      </c>
    </row>
    <row r="147" spans="1:42">
      <c r="A147" s="34" t="s">
        <v>310</v>
      </c>
      <c r="B147" s="32" t="s">
        <v>348</v>
      </c>
      <c r="C147" t="s">
        <v>149</v>
      </c>
      <c r="D147" s="4">
        <v>4.5757575757575886E-2</v>
      </c>
      <c r="E147" s="4">
        <v>4.4076708939065901E-2</v>
      </c>
      <c r="I147" t="str">
        <v>https://www.insee.fr/fr/statistiques/serie/010764291</v>
      </c>
      <c r="J147" t="str">
        <v>010764291</v>
      </c>
      <c r="K147" t="str">
        <v>Électricité vendue aux entreprises consommatrices finales</v>
      </c>
      <c r="L147" s="4">
        <v>-0.16633266533066127</v>
      </c>
      <c r="M147" s="4">
        <v>0.28211116300794026</v>
      </c>
    </row>
    <row r="148" spans="1:42">
      <c r="A148" s="34"/>
      <c r="B148" s="32"/>
      <c r="L148" s="4"/>
      <c r="M148" s="4"/>
    </row>
    <row r="149" spans="1:42">
      <c r="A149" s="34"/>
      <c r="B149" s="32"/>
      <c r="L149" s="4"/>
      <c r="M149" s="4"/>
    </row>
    <row r="152" spans="1:42">
      <c r="C152" t="str">
        <f>'A MODIFIER'!A11</f>
        <v>*3 mois</v>
      </c>
      <c r="D152">
        <f>('CUMULS INDICES'!B184/'CUMULS INDICES'!B185)-1</f>
        <v>8.9709762532981241E-3</v>
      </c>
      <c r="E152">
        <f>('CUMULS INDICES'!C184/'CUMULS INDICES'!C185)-1</f>
        <v>5.6258790436005679E-3</v>
      </c>
      <c r="F152">
        <f>('CUMULS INDICES'!D184/'CUMULS INDICES'!D185)-1</f>
        <v>4.1172196657786042E-3</v>
      </c>
      <c r="G152">
        <f>('CUMULS INDICES'!E184/'CUMULS INDICES'!E185)-1</f>
        <v>0.45688714254529583</v>
      </c>
      <c r="H152">
        <f>('CUMULS INDICES'!F184/'CUMULS INDICES'!F185)-1</f>
        <v>0.30985729386892169</v>
      </c>
      <c r="I152">
        <f>('CUMULS INDICES'!G184/'CUMULS INDICES'!G185)-1</f>
        <v>1.2328383300644452E-2</v>
      </c>
      <c r="J152">
        <f>('CUMULS INDICES'!H184/'CUMULS INDICES'!H185)-1</f>
        <v>1.9373673036093386E-2</v>
      </c>
      <c r="K152">
        <f>('CUMULS INDICES'!I184/'CUMULS INDICES'!I185)-1</f>
        <v>-0.16633266533066127</v>
      </c>
      <c r="L152">
        <f>('CUMULS INDICES'!J184/'CUMULS INDICES'!J185)-1</f>
        <v>0.43821712268314217</v>
      </c>
      <c r="M152">
        <f>('CUMULS INDICES'!K184/'CUMULS INDICES'!K185)-1</f>
        <v>0.57121933130039126</v>
      </c>
      <c r="N152">
        <f>('CUMULS INDICES'!L184/'CUMULS INDICES'!L185)-1</f>
        <v>9.468438538205981E-2</v>
      </c>
      <c r="O152">
        <f>('CUMULS INDICES'!M184/'CUMULS INDICES'!M185)-1</f>
        <v>3.2116788321168155E-3</v>
      </c>
      <c r="P152">
        <f>('CUMULS INDICES'!N184/'CUMULS INDICES'!N185)-1</f>
        <v>2.4371859296482334E-2</v>
      </c>
      <c r="Q152">
        <f>('CUMULS INDICES'!O184/'CUMULS INDICES'!O185)-1</f>
        <v>6.7730634488127661E-2</v>
      </c>
      <c r="R152">
        <f>('CUMULS INDICES'!P184/'CUMULS INDICES'!P185)-1</f>
        <v>2.3050654524758185E-2</v>
      </c>
      <c r="S152">
        <f>('CUMULS INDICES'!Q184/'CUMULS INDICES'!Q185)-1</f>
        <v>7.6504481434058746E-2</v>
      </c>
      <c r="T152">
        <f>('CUMULS INDICES'!R184/'CUMULS INDICES'!R185)-1</f>
        <v>1.4905149051490652E-2</v>
      </c>
      <c r="U152">
        <f>('CUMULS INDICES'!S184/'CUMULS INDICES'!S185)-1</f>
        <v>3.4441449535789204E-2</v>
      </c>
      <c r="V152">
        <f>('CUMULS INDICES'!T184/'CUMULS INDICES'!T185)-1</f>
        <v>1.0328292143120477E-2</v>
      </c>
      <c r="W152">
        <f>('CUMULS INDICES'!U184/'CUMULS INDICES'!U185)-1</f>
        <v>0.3837288135593222</v>
      </c>
      <c r="X152">
        <f>('CUMULS INDICES'!V184/'CUMULS INDICES'!V185)-1</f>
        <v>-3.3995815899581561E-2</v>
      </c>
      <c r="Y152">
        <f>('CUMULS INDICES'!W184/'CUMULS INDICES'!W185)-1</f>
        <v>2.4890190336749551E-2</v>
      </c>
      <c r="Z152">
        <f>('CUMULS INDICES'!X184/'CUMULS INDICES'!X185)-1</f>
        <v>2.5006512112529355E-2</v>
      </c>
      <c r="AA152">
        <f>('CUMULS INDICES'!Y184/'CUMULS INDICES'!Y185)-1</f>
        <v>6.4377682403433667E-3</v>
      </c>
      <c r="AB152">
        <f>('CUMULS INDICES'!Z184/'CUMULS INDICES'!Z185)-1</f>
        <v>1.1071060762101181E-2</v>
      </c>
      <c r="AC152">
        <f>('CUMULS INDICES'!AA184/'CUMULS INDICES'!AA185)-1</f>
        <v>8.7768969422423737E-3</v>
      </c>
      <c r="AD152">
        <f>('CUMULS INDICES'!AB184/'CUMULS INDICES'!AB185)-1</f>
        <v>0.31210443037974689</v>
      </c>
      <c r="AE152">
        <f>('CUMULS INDICES'!AC184/'CUMULS INDICES'!AC185)-1</f>
        <v>1.4539579967689953E-2</v>
      </c>
      <c r="AF152">
        <f>('CUMULS INDICES'!AD184/'CUMULS INDICES'!AD185)-1</f>
        <v>-3.9347948285554102E-3</v>
      </c>
      <c r="AG152">
        <f>('CUMULS INDICES'!AE184/'CUMULS INDICES'!AE185)-1</f>
        <v>3.7882589061716043E-2</v>
      </c>
      <c r="AH152">
        <f>('CUMULS INDICES'!AF184/'CUMULS INDICES'!AF185)-1</f>
        <v>3.3307107264620939E-2</v>
      </c>
      <c r="AI152">
        <f>('CUMULS INDICES'!AG184/'CUMULS INDICES'!AG185)-1</f>
        <v>5.9339008512769187E-2</v>
      </c>
      <c r="AJ152">
        <f>('CUMULS INDICES'!AH184/'CUMULS INDICES'!AH185)-1</f>
        <v>2.0012706480305065E-2</v>
      </c>
      <c r="AK152">
        <f>('CUMULS INDICES'!AI184/'CUMULS INDICES'!AI185)-1</f>
        <v>1.3765182186235014E-2</v>
      </c>
      <c r="AL152">
        <f>('CUMULS INDICES'!AJ184/'CUMULS INDICES'!AJ185)-1</f>
        <v>-2.6168699186991939E-2</v>
      </c>
      <c r="AM152">
        <f>('CUMULS INDICES'!AK184/'CUMULS INDICES'!AK185)-1</f>
        <v>6.48745519713263E-2</v>
      </c>
      <c r="AN152">
        <f>('CUMULS INDICES'!AL184/'CUMULS INDICES'!AL185)-1</f>
        <v>5.9586542359140626E-2</v>
      </c>
      <c r="AO152">
        <f>('CUMULS INDICES'!AM184/'CUMULS INDICES'!AM185)-1</f>
        <v>3.9414414414415955E-3</v>
      </c>
      <c r="AP152">
        <f>('CUMULS INDICES'!AN184/'CUMULS INDICES'!AN185)-1</f>
        <v>4.5757575757575886E-2</v>
      </c>
    </row>
    <row r="153" spans="1:42">
      <c r="C153" t="str">
        <f>'A MODIFIER'!A12</f>
        <v>*6 mois</v>
      </c>
      <c r="D153">
        <f>('CUMULS INDICES'!B200/'CUMULS INDICES'!B201)-1</f>
        <v>2.3696682464453556E-3</v>
      </c>
      <c r="E153">
        <f>('CUMULS INDICES'!C200/'CUMULS INDICES'!C201)-1</f>
        <v>2.0758768790264837E-2</v>
      </c>
      <c r="F153">
        <f>('CUMULS INDICES'!D200/'CUMULS INDICES'!D201)-1</f>
        <v>1.0995723885155684E-2</v>
      </c>
      <c r="G153">
        <f>('CUMULS INDICES'!E200/'CUMULS INDICES'!E201)-1</f>
        <v>0.28982351592940625</v>
      </c>
      <c r="H153">
        <f>('CUMULS INDICES'!F200/'CUMULS INDICES'!F201)-1</f>
        <v>0.16876995336553735</v>
      </c>
      <c r="I153">
        <f>('CUMULS INDICES'!G200/'CUMULS INDICES'!G201)-1</f>
        <v>1.3943112102621225E-3</v>
      </c>
      <c r="J153">
        <f>('CUMULS INDICES'!H200/'CUMULS INDICES'!H201)-1</f>
        <v>1.1566072852964737E-2</v>
      </c>
      <c r="K153">
        <f>('CUMULS INDICES'!I200/'CUMULS INDICES'!I201)-1</f>
        <v>0.28211116300794026</v>
      </c>
      <c r="L153">
        <f>('CUMULS INDICES'!J200/'CUMULS INDICES'!J201)-1</f>
        <v>0.13800205973223489</v>
      </c>
      <c r="M153">
        <f>('CUMULS INDICES'!K200/'CUMULS INDICES'!K201)-1</f>
        <v>0.30464311328091953</v>
      </c>
      <c r="N153">
        <f>('CUMULS INDICES'!L200/'CUMULS INDICES'!L201)-1</f>
        <v>3.3776028857189777E-2</v>
      </c>
      <c r="O153">
        <f>('CUMULS INDICES'!M200/'CUMULS INDICES'!M201)-1</f>
        <v>9.415918787700539E-3</v>
      </c>
      <c r="P153">
        <f>('CUMULS INDICES'!N200/'CUMULS INDICES'!N201)-1</f>
        <v>2.077790447231731E-2</v>
      </c>
      <c r="Q153">
        <f>('CUMULS INDICES'!O200/'CUMULS INDICES'!O201)-1</f>
        <v>1.0654490106544845E-2</v>
      </c>
      <c r="R153">
        <f>('CUMULS INDICES'!P200/'CUMULS INDICES'!P201)-1</f>
        <v>2.302489566844157E-2</v>
      </c>
      <c r="S153">
        <f>('CUMULS INDICES'!Q200/'CUMULS INDICES'!Q201)-1</f>
        <v>1.5021123454858287E-2</v>
      </c>
      <c r="T153">
        <f>('CUMULS INDICES'!R200/'CUMULS INDICES'!R201)-1</f>
        <v>3.3595922150138957E-2</v>
      </c>
      <c r="U153">
        <f>('CUMULS INDICES'!S200/'CUMULS INDICES'!S201)-1</f>
        <v>3.9957134109001924E-2</v>
      </c>
      <c r="V153">
        <f>('CUMULS INDICES'!T200/'CUMULS INDICES'!T201)-1</f>
        <v>-6.1998541210794844E-3</v>
      </c>
      <c r="W153">
        <f>('CUMULS INDICES'!U200/'CUMULS INDICES'!U201)-1</f>
        <v>4.689593568557382E-2</v>
      </c>
      <c r="X153">
        <f>('CUMULS INDICES'!V200/'CUMULS INDICES'!V201)-1</f>
        <v>-4.4605413648494019E-2</v>
      </c>
      <c r="Y153">
        <f>('CUMULS INDICES'!W200/'CUMULS INDICES'!W201)-1</f>
        <v>7.5768614308611149E-3</v>
      </c>
      <c r="Z153">
        <f>('CUMULS INDICES'!X200/'CUMULS INDICES'!X201)-1</f>
        <v>5.9523809523811533E-3</v>
      </c>
      <c r="AA153">
        <f>('CUMULS INDICES'!Y200/'CUMULS INDICES'!Y201)-1</f>
        <v>3.8172491947989773E-3</v>
      </c>
      <c r="AB153">
        <f>('CUMULS INDICES'!Z200/'CUMULS INDICES'!Z201)-1</f>
        <v>1.4020511489029941E-2</v>
      </c>
      <c r="AC153">
        <f>('CUMULS INDICES'!AA200/'CUMULS INDICES'!AA201)-1</f>
        <v>1.3716245177882502E-2</v>
      </c>
      <c r="AD153">
        <f>('CUMULS INDICES'!AB200/'CUMULS INDICES'!AB201)-1</f>
        <v>9.3545369504209441E-2</v>
      </c>
      <c r="AE153">
        <f>('CUMULS INDICES'!AC200/'CUMULS INDICES'!AC201)-1</f>
        <v>2.6478254904650722E-2</v>
      </c>
      <c r="AF153">
        <f>('CUMULS INDICES'!AD200/'CUMULS INDICES'!AD201)-1</f>
        <v>-2.8081999438359651E-3</v>
      </c>
      <c r="AG153">
        <f>('CUMULS INDICES'!AE200/'CUMULS INDICES'!AE201)-1</f>
        <v>8.2056747036099775E-2</v>
      </c>
      <c r="AH153">
        <f>('CUMULS INDICES'!AF200/'CUMULS INDICES'!AF201)-1</f>
        <v>6.5265182742511696E-2</v>
      </c>
      <c r="AI153">
        <f>('CUMULS INDICES'!AG200/'CUMULS INDICES'!AG201)-1</f>
        <v>9.5352243973898076E-2</v>
      </c>
      <c r="AJ153">
        <f>('CUMULS INDICES'!AH200/'CUMULS INDICES'!AH201)-1</f>
        <v>-1.1041990668740342E-2</v>
      </c>
      <c r="AK153">
        <f>('CUMULS INDICES'!AI200/'CUMULS INDICES'!AI201)-1</f>
        <v>2.4183796856105388E-3</v>
      </c>
      <c r="AL153">
        <f>('CUMULS INDICES'!AJ200/'CUMULS INDICES'!AJ201)-1</f>
        <v>-4.2755051749630457E-2</v>
      </c>
      <c r="AM153">
        <f>('CUMULS INDICES'!AK200/'CUMULS INDICES'!AK201)-1</f>
        <v>3.7831021437578549E-2</v>
      </c>
      <c r="AN153">
        <f>('CUMULS INDICES'!AL200/'CUMULS INDICES'!AL201)-1</f>
        <v>5.4586965545869726E-2</v>
      </c>
      <c r="AO153">
        <f>('CUMULS INDICES'!AM200/'CUMULS INDICES'!AM201)-1</f>
        <v>3.2417195207894434E-3</v>
      </c>
      <c r="AP153">
        <f>('CUMULS INDICES'!AN200/'CUMULS INDICES'!AN201)-1</f>
        <v>4.4076708939065901E-2</v>
      </c>
    </row>
    <row r="157" spans="1:42">
      <c r="A157" s="248" t="str">
        <f>"D. EVOLUTION PONCTUELLE : "&amp;'A MODIFIER'!F4&amp;" SUR "&amp;UPPER(TEXT(EDATE(DATE4,-12),"mmmmmmm aaaa"))&amp;" ET "&amp;UPPER(TEXT(EDATE(DATE4,-24),"mmmmmmm aaaa"))</f>
        <v>D. EVOLUTION PONCTUELLE : MAI 2026 SUR MAI 2025 ET MAI 2024</v>
      </c>
      <c r="B157" s="248"/>
      <c r="C157" s="248"/>
    </row>
    <row r="160" spans="1:42">
      <c r="D160" t="str">
        <f>'A MODIFIER'!E15</f>
        <v>*/mai 2025</v>
      </c>
      <c r="E160" t="str">
        <f>'A MODIFIER'!E16</f>
        <v>*/mai 2024</v>
      </c>
    </row>
    <row r="161" spans="1:13">
      <c r="A161" s="34" t="s">
        <v>84</v>
      </c>
      <c r="B161" s="32" t="s">
        <v>47</v>
      </c>
      <c r="C161" s="136" t="s">
        <v>115</v>
      </c>
      <c r="D161" cm="1">
        <f t="array" ref="D161:E199">TRANSPOSE(D204:AP205)</f>
        <v>1.1075949367088445E-2</v>
      </c>
      <c r="E161">
        <v>2.3218574859887875E-2</v>
      </c>
      <c r="I161" t="str" cm="1">
        <f t="array" ref="I161:M199">_xlfn._xlws.SORT(A161:E199, 4,-1, FALSE)</f>
        <v>https://www.fntp.fr/sites/default/files/content/indice_gazole_htt.pdf</v>
      </c>
      <c r="J161" t="str">
        <v>Gazole routier HTT</v>
      </c>
      <c r="K161" t="str">
        <v>Gazole routier HTT</v>
      </c>
      <c r="L161">
        <v>0.70812978072356803</v>
      </c>
      <c r="M161">
        <v>0.41930747583506678</v>
      </c>
    </row>
    <row r="162" spans="1:13">
      <c r="A162" s="37" t="s">
        <v>356</v>
      </c>
      <c r="B162">
        <v>8682743</v>
      </c>
      <c r="C162" t="s">
        <v>116</v>
      </c>
      <c r="D162">
        <v>3.3236994219653093E-2</v>
      </c>
      <c r="E162">
        <v>6.9558713537771322E-2</v>
      </c>
      <c r="I162" t="str">
        <v>https://www.insee.fr/fr/statistiques/serie/010777519</v>
      </c>
      <c r="J162" t="str">
        <v>010777519</v>
      </c>
      <c r="K162" t="str">
        <v>GNR pour les Travaux Publics</v>
      </c>
      <c r="L162">
        <v>0.52</v>
      </c>
      <c r="M162">
        <v>0.50708215297450443</v>
      </c>
    </row>
    <row r="163" spans="1:13">
      <c r="A163" s="34" t="s">
        <v>85</v>
      </c>
      <c r="B163" s="32" t="s">
        <v>49</v>
      </c>
      <c r="C163" t="s">
        <v>117</v>
      </c>
      <c r="D163">
        <v>1.9174041297935096E-2</v>
      </c>
      <c r="E163">
        <v>4.4595616024187379E-2</v>
      </c>
      <c r="I163" t="str">
        <v>https://www.insee.fr/fr/statistiques/serie/001764283</v>
      </c>
      <c r="J163" t="str">
        <v>001764283</v>
      </c>
      <c r="K163" t="str">
        <v>Gazole</v>
      </c>
      <c r="L163">
        <v>0.37977998952331049</v>
      </c>
      <c r="M163">
        <v>0.24633292325163225</v>
      </c>
    </row>
    <row r="164" spans="1:13">
      <c r="A164" s="33" t="s">
        <v>279</v>
      </c>
      <c r="B164" s="32" t="s">
        <v>317</v>
      </c>
      <c r="C164" t="s">
        <v>316</v>
      </c>
      <c r="D164">
        <v>0.52</v>
      </c>
      <c r="E164">
        <v>0.50708215297450443</v>
      </c>
      <c r="I164" t="str">
        <v>https://www.insee.fr/fr/statistiques/serie/010764143</v>
      </c>
      <c r="J164" t="str">
        <v>010764143</v>
      </c>
      <c r="K164" t="str">
        <v>Matières plastiques sous formes primaires</v>
      </c>
      <c r="L164">
        <v>0.30793991416309008</v>
      </c>
      <c r="M164">
        <v>0.24387755102040831</v>
      </c>
    </row>
    <row r="165" spans="1:13">
      <c r="A165" s="34" t="s">
        <v>86</v>
      </c>
      <c r="B165" s="32" t="s">
        <v>50</v>
      </c>
      <c r="C165" t="s">
        <v>118</v>
      </c>
      <c r="D165">
        <v>0.37977998952331049</v>
      </c>
      <c r="E165">
        <v>0.24633292325163225</v>
      </c>
      <c r="I165" t="str">
        <v>https://www.insee.fr/fr/statistiques/serie/010764297</v>
      </c>
      <c r="J165" t="str">
        <v>010764297</v>
      </c>
      <c r="K165" t="str">
        <v>Gaz naturel</v>
      </c>
      <c r="L165">
        <v>0.30558858501783592</v>
      </c>
      <c r="M165">
        <v>0.51867219917012441</v>
      </c>
    </row>
    <row r="166" spans="1:13">
      <c r="A166" s="34" t="s">
        <v>87</v>
      </c>
      <c r="B166" s="32" t="s">
        <v>51</v>
      </c>
      <c r="C166" t="s">
        <v>119</v>
      </c>
      <c r="D166">
        <v>2.201524132091448E-2</v>
      </c>
      <c r="E166">
        <v>2.0287404902789463E-2</v>
      </c>
      <c r="I166" t="str">
        <v>https://www.insee.fr/fr/statistiques/serie/010764136</v>
      </c>
      <c r="J166" t="str">
        <v>010764136</v>
      </c>
      <c r="K166" t="str">
        <v>Bitume</v>
      </c>
      <c r="L166">
        <v>0.28130360205831906</v>
      </c>
      <c r="M166">
        <v>0.125</v>
      </c>
    </row>
    <row r="167" spans="1:13">
      <c r="A167" s="34" t="s">
        <v>88</v>
      </c>
      <c r="B167" s="32" t="s">
        <v>52</v>
      </c>
      <c r="C167" t="s">
        <v>120</v>
      </c>
      <c r="D167">
        <v>2.9482071713147429E-2</v>
      </c>
      <c r="E167">
        <v>4.7001620745542816E-2</v>
      </c>
      <c r="I167" t="str">
        <v>https://www.insee.fr/fr/statistiques/serie/010764224</v>
      </c>
      <c r="J167" t="str">
        <v>010764224</v>
      </c>
      <c r="K167" t="str">
        <v>Matériel de distribution et de commande électrique</v>
      </c>
      <c r="L167">
        <v>0.18883415435139583</v>
      </c>
      <c r="M167">
        <v>0.19966859983429996</v>
      </c>
    </row>
    <row r="168" spans="1:13">
      <c r="A168" s="34" t="s">
        <v>280</v>
      </c>
      <c r="B168" s="186" t="s">
        <v>320</v>
      </c>
      <c r="C168" t="s">
        <v>121</v>
      </c>
      <c r="D168">
        <v>-3.1774051191526875E-2</v>
      </c>
      <c r="E168">
        <v>-0.12798092209856915</v>
      </c>
      <c r="I168" t="str">
        <v>https://www.insee.fr/fr/statistiques/serie/010763845</v>
      </c>
      <c r="J168" t="str">
        <v>010763845</v>
      </c>
      <c r="K168" t="str">
        <v>Tubes, tuyaux en matière plastique</v>
      </c>
      <c r="L168">
        <v>0.17618110236220486</v>
      </c>
      <c r="M168">
        <v>0.14793467819404427</v>
      </c>
    </row>
    <row r="169" spans="1:13">
      <c r="A169" s="158" t="s">
        <v>281</v>
      </c>
      <c r="B169" s="186" t="s">
        <v>321</v>
      </c>
      <c r="C169" t="s">
        <v>263</v>
      </c>
      <c r="D169">
        <v>0.30558858501783592</v>
      </c>
      <c r="E169">
        <v>0.51867219917012441</v>
      </c>
      <c r="I169" t="str">
        <v>https://www.insee.fr/fr/statistiques/serie/010764223</v>
      </c>
      <c r="J169" t="str">
        <v>010764223</v>
      </c>
      <c r="K169" t="str">
        <v>Moteurs, génératrices, transfo. électr., matér. distrib., cmde électr.</v>
      </c>
      <c r="L169">
        <v>0.11612364243943185</v>
      </c>
      <c r="M169">
        <v>0.13702127659574459</v>
      </c>
    </row>
    <row r="170" spans="1:13" ht="30">
      <c r="A170" s="34" t="s">
        <v>90</v>
      </c>
      <c r="B170" s="32" t="s">
        <v>55</v>
      </c>
      <c r="C170" t="s">
        <v>55</v>
      </c>
      <c r="D170">
        <v>0.70812978072356803</v>
      </c>
      <c r="E170">
        <v>0.41930747583506678</v>
      </c>
      <c r="I170" t="str">
        <v>https://www.insee.fr/fr/statistiques/serie/010764160</v>
      </c>
      <c r="J170" t="str">
        <v>010764160</v>
      </c>
      <c r="K170" t="str">
        <v>Plaques, feuilles, tubes et profilés en matières plastiques</v>
      </c>
      <c r="L170">
        <v>0.11275415896487995</v>
      </c>
      <c r="M170">
        <v>0.11792014856081701</v>
      </c>
    </row>
    <row r="171" spans="1:13">
      <c r="A171" s="34" t="s">
        <v>282</v>
      </c>
      <c r="B171" s="32" t="s">
        <v>322</v>
      </c>
      <c r="C171" t="s">
        <v>122</v>
      </c>
      <c r="D171">
        <v>0.17618110236220486</v>
      </c>
      <c r="E171">
        <v>0.14793467819404427</v>
      </c>
      <c r="I171" t="str">
        <v>https://www.insee.fr/fr/statistiques/serie/010765839</v>
      </c>
      <c r="J171" t="str">
        <v>010765839</v>
      </c>
      <c r="K171" t="str">
        <v>Tôles quarto et autres produits plats en aciers non alliés de qualité</v>
      </c>
      <c r="L171">
        <v>7.4608904933814779E-2</v>
      </c>
      <c r="M171">
        <v>-7.7777777777777724E-3</v>
      </c>
    </row>
    <row r="172" spans="1:13">
      <c r="A172" s="34" t="s">
        <v>284</v>
      </c>
      <c r="B172" s="186" t="s">
        <v>283</v>
      </c>
      <c r="C172" t="s">
        <v>123</v>
      </c>
      <c r="D172">
        <v>1.1473962930273585E-2</v>
      </c>
      <c r="E172">
        <v>6.4066852367687943E-2</v>
      </c>
      <c r="I172" t="str">
        <v>https://www.insee.fr/fr/statistiques/serie/010763881</v>
      </c>
      <c r="J172" t="str">
        <v>010763881</v>
      </c>
      <c r="K172" t="str">
        <v>Produits sidérurgiques en acier non allié</v>
      </c>
      <c r="L172">
        <v>7.3093220338982912E-2</v>
      </c>
      <c r="M172">
        <v>4.4329896907216559E-2</v>
      </c>
    </row>
    <row r="173" spans="1:13">
      <c r="A173" s="34" t="s">
        <v>285</v>
      </c>
      <c r="B173" s="186" t="s">
        <v>323</v>
      </c>
      <c r="C173" t="s">
        <v>124</v>
      </c>
      <c r="D173">
        <v>3.6446469248291757E-2</v>
      </c>
      <c r="E173">
        <v>5.8139534883721034E-2</v>
      </c>
      <c r="I173" t="str">
        <v>https://www.insee.fr/fr/statistiques/serie/010763930</v>
      </c>
      <c r="J173" t="str">
        <v>010763930</v>
      </c>
      <c r="K173" t="str">
        <v>Fils et câbles d'énergie</v>
      </c>
      <c r="L173">
        <v>7.2317262830482232E-2</v>
      </c>
      <c r="M173">
        <v>0.10585404971932633</v>
      </c>
    </row>
    <row r="174" spans="1:13">
      <c r="A174" s="34" t="s">
        <v>286</v>
      </c>
      <c r="B174" s="186" t="s">
        <v>324</v>
      </c>
      <c r="C174" t="s">
        <v>125</v>
      </c>
      <c r="D174">
        <v>6.4732142857143016E-2</v>
      </c>
      <c r="E174">
        <v>7.1910112359550693E-2</v>
      </c>
      <c r="I174" t="str">
        <v>https://www.insee.fr/fr/statistiques/serie/010764149</v>
      </c>
      <c r="J174" t="str">
        <v>010764149</v>
      </c>
      <c r="K174" t="str">
        <v>Autres produits chimiques</v>
      </c>
      <c r="L174">
        <v>6.7506750675067506E-2</v>
      </c>
      <c r="M174">
        <v>0.1001855287569573</v>
      </c>
    </row>
    <row r="175" spans="1:13">
      <c r="A175" s="34" t="s">
        <v>287</v>
      </c>
      <c r="B175" s="195" t="s">
        <v>319</v>
      </c>
      <c r="C175" t="s">
        <v>126</v>
      </c>
      <c r="D175">
        <v>3.2702237521514688E-2</v>
      </c>
      <c r="E175">
        <v>4.1666666666666741E-2</v>
      </c>
      <c r="I175" t="str">
        <v>https://www.insee.fr/fr/statistiques/serie/010766236</v>
      </c>
      <c r="J175" t="str">
        <v>010766236</v>
      </c>
      <c r="K175" t="str">
        <v>Barres crénelées ou nervurées pour béton armé</v>
      </c>
      <c r="L175">
        <v>6.4732142857143016E-2</v>
      </c>
      <c r="M175">
        <v>7.1910112359550693E-2</v>
      </c>
    </row>
    <row r="176" spans="1:13">
      <c r="A176" s="34" t="s">
        <v>288</v>
      </c>
      <c r="B176" s="32" t="s">
        <v>325</v>
      </c>
      <c r="C176" t="s">
        <v>127</v>
      </c>
      <c r="D176">
        <v>0.11275415896487995</v>
      </c>
      <c r="E176">
        <v>0.11792014856081701</v>
      </c>
      <c r="I176" t="str">
        <v>https://www.insee.fr/fr/statistiques/serie/010764301</v>
      </c>
      <c r="J176" t="str">
        <v>010764301</v>
      </c>
      <c r="K176" t="str">
        <v>Collecte, traitement et élimination des déchets ; récupération de matériaux</v>
      </c>
      <c r="L176">
        <v>6.3694267515923553E-2</v>
      </c>
      <c r="M176">
        <v>4.3749999999999956E-2</v>
      </c>
    </row>
    <row r="177" spans="1:13">
      <c r="A177" s="34" t="s">
        <v>289</v>
      </c>
      <c r="B177" s="32" t="s">
        <v>326</v>
      </c>
      <c r="C177" t="s">
        <v>128</v>
      </c>
      <c r="D177">
        <v>3.9835164835164916E-2</v>
      </c>
      <c r="E177">
        <v>5.4317548746518174E-2</v>
      </c>
      <c r="I177" t="str">
        <v>https://www.insee.fr/fr/statistiques/serie/010764176</v>
      </c>
      <c r="J177" t="str">
        <v>010764176</v>
      </c>
      <c r="K177" t="str">
        <v>Ciment, chaux et plâtre</v>
      </c>
      <c r="L177">
        <v>3.9835164835164916E-2</v>
      </c>
      <c r="M177">
        <v>5.4317548746518174E-2</v>
      </c>
    </row>
    <row r="178" spans="1:13">
      <c r="A178" s="34" t="s">
        <v>290</v>
      </c>
      <c r="B178" s="32" t="s">
        <v>327</v>
      </c>
      <c r="C178" t="s">
        <v>258</v>
      </c>
      <c r="D178">
        <v>6.7506750675067506E-2</v>
      </c>
      <c r="E178">
        <v>0.1001855287569573</v>
      </c>
      <c r="I178" t="str">
        <v>https://www.insee.fr/fr/statistiques/serie/010764187</v>
      </c>
      <c r="J178" t="str">
        <v>010764187</v>
      </c>
      <c r="K178" t="str">
        <v>Tubes, tuyaux, profilés creux et accessoires correspondants en acier</v>
      </c>
      <c r="L178">
        <v>3.9669421487603218E-2</v>
      </c>
      <c r="M178">
        <v>8.0128205128204844E-3</v>
      </c>
    </row>
    <row r="179" spans="1:13">
      <c r="A179" s="34" t="s">
        <v>291</v>
      </c>
      <c r="B179" s="32" t="s">
        <v>328</v>
      </c>
      <c r="C179" t="s">
        <v>129</v>
      </c>
      <c r="D179">
        <v>-2.0386266094420624E-2</v>
      </c>
      <c r="E179">
        <v>-1.5102481121898603E-2</v>
      </c>
      <c r="I179" t="str">
        <v>https://www.insee.fr/fr/statistiques/serie/010764180</v>
      </c>
      <c r="J179" t="str">
        <v>010764180</v>
      </c>
      <c r="K179" t="str">
        <v>Béton prêt à l'emploi</v>
      </c>
      <c r="L179">
        <v>3.6446469248291757E-2</v>
      </c>
      <c r="M179">
        <v>5.8139534883721034E-2</v>
      </c>
    </row>
    <row r="180" spans="1:13">
      <c r="A180" s="34" t="s">
        <v>292</v>
      </c>
      <c r="B180" s="32" t="s">
        <v>329</v>
      </c>
      <c r="C180" t="s">
        <v>130</v>
      </c>
      <c r="D180">
        <v>0.28130360205831906</v>
      </c>
      <c r="E180">
        <v>0.125</v>
      </c>
      <c r="I180" t="str">
        <v>https://www.insee.fr/fr/statistiques/8682743</v>
      </c>
      <c r="J180">
        <v>8682743</v>
      </c>
      <c r="K180" t="str">
        <v>Travail</v>
      </c>
      <c r="L180">
        <v>3.3236994219653093E-2</v>
      </c>
      <c r="M180">
        <v>6.9558713537771322E-2</v>
      </c>
    </row>
    <row r="181" spans="1:13">
      <c r="A181" s="34" t="s">
        <v>293</v>
      </c>
      <c r="B181" s="32" t="s">
        <v>330</v>
      </c>
      <c r="C181" t="s">
        <v>131</v>
      </c>
      <c r="D181">
        <v>-5.2388289676425392E-2</v>
      </c>
      <c r="E181">
        <v>-5.9633027522935866E-2</v>
      </c>
      <c r="I181" t="str">
        <v>https://www.insee.fr/fr/statistiques/serie/010765500</v>
      </c>
      <c r="J181" t="str">
        <v>010765500</v>
      </c>
      <c r="K181" t="str">
        <v>Sables et granulats</v>
      </c>
      <c r="L181">
        <v>3.2702237521514688E-2</v>
      </c>
      <c r="M181">
        <v>4.1666666666666741E-2</v>
      </c>
    </row>
    <row r="182" spans="1:13">
      <c r="A182" s="34" t="s">
        <v>294</v>
      </c>
      <c r="B182" s="32" t="s">
        <v>331</v>
      </c>
      <c r="C182" t="s">
        <v>132</v>
      </c>
      <c r="D182">
        <v>2.4411508282476069E-2</v>
      </c>
      <c r="E182">
        <v>2.3519163763066286E-2</v>
      </c>
      <c r="I182" t="str">
        <v>https://www.insee.fr/fr/statistiques/serie/001711943</v>
      </c>
      <c r="J182" t="str">
        <v>001711943</v>
      </c>
      <c r="K182" t="str">
        <v>Transports routiers</v>
      </c>
      <c r="L182">
        <v>2.9482071713147429E-2</v>
      </c>
      <c r="M182">
        <v>4.7001620745542816E-2</v>
      </c>
    </row>
    <row r="183" spans="1:13">
      <c r="A183" s="34" t="s">
        <v>295</v>
      </c>
      <c r="B183" s="32" t="s">
        <v>332</v>
      </c>
      <c r="C183" t="s">
        <v>133</v>
      </c>
      <c r="D183">
        <v>8.4226646248084514E-3</v>
      </c>
      <c r="E183">
        <v>2.2515527950310421E-2</v>
      </c>
      <c r="I183" t="str">
        <v>https://www.insee.fr/fr/statistiques/serie/010764101</v>
      </c>
      <c r="J183" t="str">
        <v>010764101</v>
      </c>
      <c r="K183" t="str">
        <v>Autres textiles</v>
      </c>
      <c r="L183">
        <v>2.8472821397756753E-2</v>
      </c>
      <c r="M183">
        <v>5.0220264317180741E-2</v>
      </c>
    </row>
    <row r="184" spans="1:13">
      <c r="A184" s="34" t="s">
        <v>296</v>
      </c>
      <c r="B184" s="32" t="s">
        <v>333</v>
      </c>
      <c r="C184" t="s">
        <v>134</v>
      </c>
      <c r="D184">
        <v>1.2142857142857011E-2</v>
      </c>
      <c r="E184">
        <v>1.5042979942693435E-2</v>
      </c>
      <c r="I184" t="str">
        <v>https://www.insee.fr/fr/statistiques/serie/010764181</v>
      </c>
      <c r="J184" t="str">
        <v>010764181</v>
      </c>
      <c r="K184" t="str">
        <v>Mortiers et bétons secs</v>
      </c>
      <c r="L184">
        <v>2.4411508282476069E-2</v>
      </c>
      <c r="M184">
        <v>2.3519163763066286E-2</v>
      </c>
    </row>
    <row r="185" spans="1:13">
      <c r="A185" s="34" t="s">
        <v>297</v>
      </c>
      <c r="B185" s="32" t="s">
        <v>334</v>
      </c>
      <c r="C185" t="s">
        <v>266</v>
      </c>
      <c r="D185">
        <v>4.6047582501917983E-3</v>
      </c>
      <c r="E185">
        <v>8.4745762711864181E-3</v>
      </c>
      <c r="I185" t="str">
        <v>https://www.insee.fr/fr/statistiques/serie/001711011</v>
      </c>
      <c r="J185" t="str">
        <v>001711011</v>
      </c>
      <c r="K185" t="str">
        <v>Frais divers</v>
      </c>
      <c r="L185">
        <v>2.201524132091448E-2</v>
      </c>
      <c r="M185">
        <v>2.0287404902789463E-2</v>
      </c>
    </row>
    <row r="186" spans="1:13">
      <c r="A186" s="34" t="s">
        <v>298</v>
      </c>
      <c r="B186" s="32" t="s">
        <v>335</v>
      </c>
      <c r="C186" t="s">
        <v>261</v>
      </c>
      <c r="D186">
        <v>2.8472821397756753E-2</v>
      </c>
      <c r="E186">
        <v>5.0220264317180741E-2</v>
      </c>
      <c r="I186" t="str">
        <v>https://www.insee.fr/fr/statistiques/serie/001565195</v>
      </c>
      <c r="J186" t="str">
        <v>001565195</v>
      </c>
      <c r="K186" t="str">
        <v>Travail activités spécialisées</v>
      </c>
      <c r="L186">
        <v>1.9174041297935096E-2</v>
      </c>
      <c r="M186">
        <v>4.4595616024187379E-2</v>
      </c>
    </row>
    <row r="187" spans="1:13">
      <c r="A187" s="34" t="s">
        <v>299</v>
      </c>
      <c r="B187" s="32" t="s">
        <v>336</v>
      </c>
      <c r="C187" t="s">
        <v>135</v>
      </c>
      <c r="D187">
        <v>0.30793991416309008</v>
      </c>
      <c r="E187">
        <v>0.24387755102040831</v>
      </c>
      <c r="I187" t="str">
        <v>https://www.insee.fr/fr/statistiques/serie/010764172</v>
      </c>
      <c r="J187" t="str">
        <v>010764172</v>
      </c>
      <c r="K187" t="str">
        <v>Tuiles, briques et produits de construction en terre cuite</v>
      </c>
      <c r="L187">
        <v>1.2142857142857011E-2</v>
      </c>
      <c r="M187">
        <v>1.5042979942693435E-2</v>
      </c>
    </row>
    <row r="188" spans="1:13">
      <c r="A188" s="34" t="s">
        <v>300</v>
      </c>
      <c r="B188" s="32" t="s">
        <v>337</v>
      </c>
      <c r="C188" t="s">
        <v>136</v>
      </c>
      <c r="D188">
        <v>3.9669421487603218E-2</v>
      </c>
      <c r="E188">
        <v>8.0128205128204844E-3</v>
      </c>
      <c r="I188" t="str">
        <v>https://www.insee.fr/fr/statistiques/serie/010764116#Tableau</v>
      </c>
      <c r="J188" t="str">
        <v> 010764116</v>
      </c>
      <c r="K188" t="str">
        <v>Ensemble des produits du sciage</v>
      </c>
      <c r="L188">
        <v>1.1473962930273585E-2</v>
      </c>
      <c r="M188">
        <v>6.4066852367687943E-2</v>
      </c>
    </row>
    <row r="189" spans="1:13">
      <c r="A189" s="34" t="s">
        <v>301</v>
      </c>
      <c r="B189" s="32" t="s">
        <v>338</v>
      </c>
      <c r="C189" t="s">
        <v>137</v>
      </c>
      <c r="D189">
        <v>-5.0420168067226712E-3</v>
      </c>
      <c r="E189">
        <v>-2.9508196721311442E-2</v>
      </c>
      <c r="I189" t="str">
        <v>https://www.insee.fr/fr/statistiques/serie/001711009</v>
      </c>
      <c r="J189" t="str">
        <v>001711009</v>
      </c>
      <c r="K189" t="str">
        <v>Matériel</v>
      </c>
      <c r="L189">
        <v>1.1075949367088445E-2</v>
      </c>
      <c r="M189">
        <v>2.3218574859887875E-2</v>
      </c>
    </row>
    <row r="190" spans="1:13">
      <c r="A190" s="34" t="s">
        <v>302</v>
      </c>
      <c r="B190" s="32" t="s">
        <v>339</v>
      </c>
      <c r="C190" t="s">
        <v>138</v>
      </c>
      <c r="D190">
        <v>7.2317262830482232E-2</v>
      </c>
      <c r="E190">
        <v>0.10585404971932633</v>
      </c>
      <c r="I190" t="str">
        <v>https://www.insee.fr/fr/statistiques/serie/010764195</v>
      </c>
      <c r="J190" t="str">
        <v>010764195</v>
      </c>
      <c r="K190" t="str">
        <v>Travaux de fonderie de fonte</v>
      </c>
      <c r="L190">
        <v>8.4226646248084514E-3</v>
      </c>
      <c r="M190">
        <v>2.2515527950310421E-2</v>
      </c>
    </row>
    <row r="191" spans="1:13">
      <c r="A191" s="34" t="s">
        <v>303</v>
      </c>
      <c r="B191" s="32" t="s">
        <v>340</v>
      </c>
      <c r="C191" t="s">
        <v>139</v>
      </c>
      <c r="D191">
        <v>0.11612364243943185</v>
      </c>
      <c r="E191">
        <v>0.13702127659574459</v>
      </c>
      <c r="I191" t="str">
        <v>https://www.insee.fr/fr/statistiques/serie/010766292</v>
      </c>
      <c r="J191" t="str">
        <v>010766292</v>
      </c>
      <c r="K191" t="str">
        <v>Réseaux d’assainissement</v>
      </c>
      <c r="L191">
        <v>4.6047582501917983E-3</v>
      </c>
      <c r="M191">
        <v>8.4745762711864181E-3</v>
      </c>
    </row>
    <row r="192" spans="1:13">
      <c r="A192" s="34" t="s">
        <v>304</v>
      </c>
      <c r="B192" s="32" t="s">
        <v>341</v>
      </c>
      <c r="C192" t="s">
        <v>140</v>
      </c>
      <c r="D192">
        <v>0.18883415435139583</v>
      </c>
      <c r="E192">
        <v>0.19966859983429996</v>
      </c>
      <c r="I192" t="str">
        <v>https://www.insee.fr/fr/statistiques/serie/010764306</v>
      </c>
      <c r="J192" t="str">
        <v>010764306</v>
      </c>
      <c r="K192" t="str">
        <v>Traitement et élimination des déchets non dangereux</v>
      </c>
      <c r="L192">
        <v>4.2122999157538921E-3</v>
      </c>
      <c r="M192">
        <v>2.8472821397756753E-2</v>
      </c>
    </row>
    <row r="193" spans="1:42">
      <c r="A193" s="34" t="s">
        <v>318</v>
      </c>
      <c r="B193" s="32" t="s">
        <v>342</v>
      </c>
      <c r="C193" t="s">
        <v>141</v>
      </c>
      <c r="D193">
        <v>-5.5865921787709993E-3</v>
      </c>
      <c r="E193">
        <v>-5.5865921787709993E-3</v>
      </c>
      <c r="I193" t="str">
        <v>https://www.insee.fr/fr/statistiques/serie/010764834</v>
      </c>
      <c r="J193" t="str">
        <v>010764834</v>
      </c>
      <c r="K193" t="str">
        <v>Câbles de fibres optiques</v>
      </c>
      <c r="L193">
        <v>-3.558718861209953E-3</v>
      </c>
      <c r="M193">
        <v>-0.14634146341463417</v>
      </c>
    </row>
    <row r="194" spans="1:42">
      <c r="A194" s="34" t="s">
        <v>305</v>
      </c>
      <c r="B194" s="32" t="s">
        <v>343</v>
      </c>
      <c r="C194" t="s">
        <v>142</v>
      </c>
      <c r="D194">
        <v>-3.558718861209953E-3</v>
      </c>
      <c r="E194">
        <v>-0.14634146341463417</v>
      </c>
      <c r="I194" t="str">
        <v>https://www.insee.fr/fr/statistiques/serie/010764179</v>
      </c>
      <c r="J194" t="str">
        <v>010764179</v>
      </c>
      <c r="K194" t="str">
        <v>Éléments en béton pour la construction</v>
      </c>
      <c r="L194">
        <v>-5.0420168067226712E-3</v>
      </c>
      <c r="M194">
        <v>-2.9508196721311442E-2</v>
      </c>
    </row>
    <row r="195" spans="1:42">
      <c r="A195" s="34" t="s">
        <v>306</v>
      </c>
      <c r="B195" s="32" t="s">
        <v>344</v>
      </c>
      <c r="C195" t="s">
        <v>143</v>
      </c>
      <c r="D195">
        <v>-4.7829286239882252E-2</v>
      </c>
      <c r="E195">
        <v>-5.685131195335269E-2</v>
      </c>
      <c r="I195" t="str">
        <v>https://www.insee.fr/fr/statistiques/serie/010764228</v>
      </c>
      <c r="J195" t="str">
        <v>010764228</v>
      </c>
      <c r="K195" t="str">
        <v>Appareils d'éclairage électrique</v>
      </c>
      <c r="L195">
        <v>-5.5865921787709993E-3</v>
      </c>
      <c r="M195">
        <v>-5.5865921787709993E-3</v>
      </c>
    </row>
    <row r="196" spans="1:42">
      <c r="A196" s="34" t="s">
        <v>307</v>
      </c>
      <c r="B196" s="32" t="s">
        <v>345</v>
      </c>
      <c r="C196" t="s">
        <v>144</v>
      </c>
      <c r="D196">
        <v>7.3093220338982912E-2</v>
      </c>
      <c r="E196">
        <v>4.4329896907216559E-2</v>
      </c>
      <c r="I196" t="str">
        <v>https://www.insee.fr/fr/statistiques/serie/010765837</v>
      </c>
      <c r="J196" t="str">
        <v>010765837</v>
      </c>
      <c r="K196" t="str">
        <v>Acier pour la construction</v>
      </c>
      <c r="L196">
        <v>-2.0386266094420624E-2</v>
      </c>
      <c r="M196">
        <v>-1.5102481121898603E-2</v>
      </c>
    </row>
    <row r="197" spans="1:42">
      <c r="A197" s="34" t="s">
        <v>308</v>
      </c>
      <c r="B197" s="32" t="s">
        <v>346</v>
      </c>
      <c r="C197" t="s">
        <v>145</v>
      </c>
      <c r="D197">
        <v>7.4608904933814779E-2</v>
      </c>
      <c r="E197">
        <v>-7.7777777777777724E-3</v>
      </c>
      <c r="I197" t="str">
        <v>https://www.insee.fr/fr/statistiques/serie/010764291</v>
      </c>
      <c r="J197" t="str">
        <v>010764291</v>
      </c>
      <c r="K197" t="str">
        <v>Électricité vendue aux entreprises consommatrices finales</v>
      </c>
      <c r="L197">
        <v>-3.1774051191526875E-2</v>
      </c>
      <c r="M197">
        <v>-0.12798092209856915</v>
      </c>
    </row>
    <row r="198" spans="1:42">
      <c r="A198" s="34" t="s">
        <v>309</v>
      </c>
      <c r="B198" s="32" t="s">
        <v>347</v>
      </c>
      <c r="C198" t="s">
        <v>148</v>
      </c>
      <c r="D198">
        <v>4.2122999157538921E-3</v>
      </c>
      <c r="E198">
        <v>2.8472821397756753E-2</v>
      </c>
      <c r="I198" t="str">
        <v>https://www.insee.fr/fr/statistiques/serie/010763825</v>
      </c>
      <c r="J198" t="str">
        <v>010763825</v>
      </c>
      <c r="K198" t="str">
        <v>Peintures Industries</v>
      </c>
      <c r="L198">
        <v>-4.7829286239882252E-2</v>
      </c>
      <c r="M198">
        <v>-5.685131195335269E-2</v>
      </c>
    </row>
    <row r="199" spans="1:42">
      <c r="A199" s="34" t="s">
        <v>310</v>
      </c>
      <c r="B199" s="32" t="s">
        <v>348</v>
      </c>
      <c r="C199" t="s">
        <v>149</v>
      </c>
      <c r="D199">
        <v>6.3694267515923553E-2</v>
      </c>
      <c r="E199">
        <v>4.3749999999999956E-2</v>
      </c>
      <c r="I199" t="str">
        <v>https://www.insee.fr/fr/statistiques/serie/010763871</v>
      </c>
      <c r="J199" t="str">
        <v>010763871</v>
      </c>
      <c r="K199" t="str">
        <v>Produits de voierie en béton</v>
      </c>
      <c r="L199">
        <v>-5.2388289676425392E-2</v>
      </c>
      <c r="M199">
        <v>-5.9633027522935866E-2</v>
      </c>
    </row>
    <row r="204" spans="1:42">
      <c r="C204" t="str">
        <f>'A MODIFIER'!E15</f>
        <v>*/mai 2025</v>
      </c>
      <c r="D204">
        <f>('CUMULS INDICES'!B116/'CUMULS INDICES'!B131)-1</f>
        <v>1.1075949367088445E-2</v>
      </c>
      <c r="E204">
        <f>('CUMULS INDICES'!C116/'CUMULS INDICES'!C131)-1</f>
        <v>3.3236994219653093E-2</v>
      </c>
      <c r="F204">
        <f>('CUMULS INDICES'!D116/'CUMULS INDICES'!D131)-1</f>
        <v>1.9174041297935096E-2</v>
      </c>
      <c r="G204">
        <f>('CUMULS INDICES'!E116/'CUMULS INDICES'!E131)-1</f>
        <v>0.52</v>
      </c>
      <c r="H204">
        <f>('CUMULS INDICES'!F116/'CUMULS INDICES'!F131)-1</f>
        <v>0.37977998952331049</v>
      </c>
      <c r="I204">
        <f>('CUMULS INDICES'!G116/'CUMULS INDICES'!G131)-1</f>
        <v>2.201524132091448E-2</v>
      </c>
      <c r="J204">
        <f>('CUMULS INDICES'!H116/'CUMULS INDICES'!H131)-1</f>
        <v>2.9482071713147429E-2</v>
      </c>
      <c r="K204">
        <f>('CUMULS INDICES'!I116/'CUMULS INDICES'!I131)-1</f>
        <v>-3.1774051191526875E-2</v>
      </c>
      <c r="L204">
        <f>('CUMULS INDICES'!J116/'CUMULS INDICES'!J131)-1</f>
        <v>0.30558858501783592</v>
      </c>
      <c r="M204">
        <f>('CUMULS INDICES'!K116/'CUMULS INDICES'!K131)-1</f>
        <v>0.70812978072356803</v>
      </c>
      <c r="N204">
        <f>('CUMULS INDICES'!L116/'CUMULS INDICES'!L131)-1</f>
        <v>0.17618110236220486</v>
      </c>
      <c r="O204">
        <f>('CUMULS INDICES'!M116/'CUMULS INDICES'!M131)-1</f>
        <v>1.1473962930273585E-2</v>
      </c>
      <c r="P204">
        <f>('CUMULS INDICES'!N116/'CUMULS INDICES'!N131)-1</f>
        <v>3.6446469248291757E-2</v>
      </c>
      <c r="Q204">
        <f>('CUMULS INDICES'!O116/'CUMULS INDICES'!O131)-1</f>
        <v>6.4732142857143016E-2</v>
      </c>
      <c r="R204">
        <f>('CUMULS INDICES'!P116/'CUMULS INDICES'!P131)-1</f>
        <v>3.2702237521514688E-2</v>
      </c>
      <c r="S204">
        <f>('CUMULS INDICES'!Q116/'CUMULS INDICES'!Q131)-1</f>
        <v>0.11275415896487995</v>
      </c>
      <c r="T204">
        <f>('CUMULS INDICES'!R116/'CUMULS INDICES'!R131)-1</f>
        <v>3.9835164835164916E-2</v>
      </c>
      <c r="U204">
        <f>('CUMULS INDICES'!S116/'CUMULS INDICES'!S131)-1</f>
        <v>6.7506750675067506E-2</v>
      </c>
      <c r="V204">
        <f>('CUMULS INDICES'!T116/'CUMULS INDICES'!T131)-1</f>
        <v>-2.0386266094420624E-2</v>
      </c>
      <c r="W204">
        <f>('CUMULS INDICES'!U116/'CUMULS INDICES'!U131)-1</f>
        <v>0.28130360205831906</v>
      </c>
      <c r="X204">
        <f>('CUMULS INDICES'!V116/'CUMULS INDICES'!V131)-1</f>
        <v>-5.2388289676425392E-2</v>
      </c>
      <c r="Y204">
        <f>('CUMULS INDICES'!W116/'CUMULS INDICES'!W131)-1</f>
        <v>2.4411508282476069E-2</v>
      </c>
      <c r="Z204">
        <f>('CUMULS INDICES'!X116/'CUMULS INDICES'!X131)-1</f>
        <v>8.4226646248084514E-3</v>
      </c>
      <c r="AA204">
        <f>('CUMULS INDICES'!Y116/'CUMULS INDICES'!Y131)-1</f>
        <v>1.2142857142857011E-2</v>
      </c>
      <c r="AB204">
        <f>('CUMULS INDICES'!Z116/'CUMULS INDICES'!Z131)-1</f>
        <v>4.6047582501917983E-3</v>
      </c>
      <c r="AC204">
        <f>('CUMULS INDICES'!AA116/'CUMULS INDICES'!AA131)-1</f>
        <v>2.8472821397756753E-2</v>
      </c>
      <c r="AD204">
        <f>('CUMULS INDICES'!AB116/'CUMULS INDICES'!AB131)-1</f>
        <v>0.30793991416309008</v>
      </c>
      <c r="AE204">
        <f>('CUMULS INDICES'!AC116/'CUMULS INDICES'!AC131)-1</f>
        <v>3.9669421487603218E-2</v>
      </c>
      <c r="AF204">
        <f>('CUMULS INDICES'!AD116/'CUMULS INDICES'!AD131)-1</f>
        <v>-5.0420168067226712E-3</v>
      </c>
      <c r="AG204">
        <f>('CUMULS INDICES'!AE116/'CUMULS INDICES'!AE131)-1</f>
        <v>7.2317262830482232E-2</v>
      </c>
      <c r="AH204">
        <f>('CUMULS INDICES'!AF116/'CUMULS INDICES'!AF131)-1</f>
        <v>0.11612364243943185</v>
      </c>
      <c r="AI204">
        <f>('CUMULS INDICES'!AG116/'CUMULS INDICES'!AG131)-1</f>
        <v>0.18883415435139583</v>
      </c>
      <c r="AJ204">
        <f>('CUMULS INDICES'!AH116/'CUMULS INDICES'!AH131)-1</f>
        <v>-5.5865921787709993E-3</v>
      </c>
      <c r="AK204">
        <f>('CUMULS INDICES'!AI116/'CUMULS INDICES'!AI131)-1</f>
        <v>-3.558718861209953E-3</v>
      </c>
      <c r="AL204">
        <f>('CUMULS INDICES'!AJ116/'CUMULS INDICES'!AJ131)-1</f>
        <v>-4.7829286239882252E-2</v>
      </c>
      <c r="AM204">
        <f>('CUMULS INDICES'!AK116/'CUMULS INDICES'!AK131)-1</f>
        <v>7.3093220338982912E-2</v>
      </c>
      <c r="AN204">
        <f>('CUMULS INDICES'!AL116/'CUMULS INDICES'!AL131)-1</f>
        <v>7.4608904933814779E-2</v>
      </c>
      <c r="AO204">
        <f>('CUMULS INDICES'!AM116/'CUMULS INDICES'!AM131)-1</f>
        <v>4.2122999157538921E-3</v>
      </c>
      <c r="AP204">
        <f>('CUMULS INDICES'!AN116/'CUMULS INDICES'!AN131)-1</f>
        <v>6.3694267515923553E-2</v>
      </c>
    </row>
    <row r="205" spans="1:42">
      <c r="C205" t="str">
        <f>'A MODIFIER'!E16</f>
        <v>*/mai 2024</v>
      </c>
      <c r="D205">
        <f>('CUMULS INDICES'!B116/'CUMULS INDICES'!B146)-1</f>
        <v>2.3218574859887875E-2</v>
      </c>
      <c r="E205">
        <f>('CUMULS INDICES'!C116/'CUMULS INDICES'!C146)-1</f>
        <v>6.9558713537771322E-2</v>
      </c>
      <c r="F205">
        <f>('CUMULS INDICES'!D116/'CUMULS INDICES'!D146)-1</f>
        <v>4.4595616024187379E-2</v>
      </c>
      <c r="G205">
        <f>('CUMULS INDICES'!E116/'CUMULS INDICES'!E146)-1</f>
        <v>0.50708215297450443</v>
      </c>
      <c r="H205">
        <f>('CUMULS INDICES'!F116/'CUMULS INDICES'!F146)-1</f>
        <v>0.24633292325163225</v>
      </c>
      <c r="I205">
        <f>('CUMULS INDICES'!G116/'CUMULS INDICES'!G146)-1</f>
        <v>2.0287404902789463E-2</v>
      </c>
      <c r="J205">
        <f>('CUMULS INDICES'!H116/'CUMULS INDICES'!H146)-1</f>
        <v>4.7001620745542816E-2</v>
      </c>
      <c r="K205">
        <f>('CUMULS INDICES'!I116/'CUMULS INDICES'!I146)-1</f>
        <v>-0.12798092209856915</v>
      </c>
      <c r="L205">
        <f>('CUMULS INDICES'!J116/'CUMULS INDICES'!J146)-1</f>
        <v>0.51867219917012441</v>
      </c>
      <c r="M205">
        <f>('CUMULS INDICES'!K116/'CUMULS INDICES'!K146)-1</f>
        <v>0.41930747583506678</v>
      </c>
      <c r="N205">
        <f>('CUMULS INDICES'!L116/'CUMULS INDICES'!L146)-1</f>
        <v>0.14793467819404427</v>
      </c>
      <c r="O205">
        <f>('CUMULS INDICES'!M116/'CUMULS INDICES'!M146)-1</f>
        <v>6.4066852367687943E-2</v>
      </c>
      <c r="P205">
        <f>('CUMULS INDICES'!N116/'CUMULS INDICES'!N146)-1</f>
        <v>5.8139534883721034E-2</v>
      </c>
      <c r="Q205">
        <f>('CUMULS INDICES'!O116/'CUMULS INDICES'!O146)-1</f>
        <v>7.1910112359550693E-2</v>
      </c>
      <c r="R205">
        <f>('CUMULS INDICES'!P116/'CUMULS INDICES'!P146)-1</f>
        <v>4.1666666666666741E-2</v>
      </c>
      <c r="S205">
        <f>('CUMULS INDICES'!Q116/'CUMULS INDICES'!Q146)-1</f>
        <v>0.11792014856081701</v>
      </c>
      <c r="T205">
        <f>('CUMULS INDICES'!R116/'CUMULS INDICES'!R146)-1</f>
        <v>5.4317548746518174E-2</v>
      </c>
      <c r="U205">
        <f>('CUMULS INDICES'!S116/'CUMULS INDICES'!S146)-1</f>
        <v>0.1001855287569573</v>
      </c>
      <c r="V205">
        <f>('CUMULS INDICES'!T116/'CUMULS INDICES'!T146)-1</f>
        <v>-1.5102481121898603E-2</v>
      </c>
      <c r="W205">
        <f>('CUMULS INDICES'!U116/'CUMULS INDICES'!U146)-1</f>
        <v>0.125</v>
      </c>
      <c r="X205">
        <f>('CUMULS INDICES'!V116/'CUMULS INDICES'!V146)-1</f>
        <v>-5.9633027522935866E-2</v>
      </c>
      <c r="Y205">
        <f>('CUMULS INDICES'!W116/'CUMULS INDICES'!W146)-1</f>
        <v>2.3519163763066286E-2</v>
      </c>
      <c r="Z205">
        <f>('CUMULS INDICES'!X116/'CUMULS INDICES'!X146)-1</f>
        <v>2.2515527950310421E-2</v>
      </c>
      <c r="AA205">
        <f>('CUMULS INDICES'!Y116/'CUMULS INDICES'!Y146)-1</f>
        <v>1.5042979942693435E-2</v>
      </c>
      <c r="AB205">
        <f>('CUMULS INDICES'!Z116/'CUMULS INDICES'!Z146)-1</f>
        <v>8.4745762711864181E-3</v>
      </c>
      <c r="AC205">
        <f>('CUMULS INDICES'!AA116/'CUMULS INDICES'!AA146)-1</f>
        <v>5.0220264317180741E-2</v>
      </c>
      <c r="AD205">
        <f>('CUMULS INDICES'!AB116/'CUMULS INDICES'!AB146)-1</f>
        <v>0.24387755102040831</v>
      </c>
      <c r="AE205">
        <f>('CUMULS INDICES'!AC116/'CUMULS INDICES'!AC146)-1</f>
        <v>8.0128205128204844E-3</v>
      </c>
      <c r="AF205">
        <f>('CUMULS INDICES'!AD116/'CUMULS INDICES'!AD146)-1</f>
        <v>-2.9508196721311442E-2</v>
      </c>
      <c r="AG205">
        <f>('CUMULS INDICES'!AE116/'CUMULS INDICES'!AE146)-1</f>
        <v>0.10585404971932633</v>
      </c>
      <c r="AH205">
        <f>('CUMULS INDICES'!AF116/'CUMULS INDICES'!AF146)-1</f>
        <v>0.13702127659574459</v>
      </c>
      <c r="AI205">
        <f>('CUMULS INDICES'!AG116/'CUMULS INDICES'!AG146)-1</f>
        <v>0.19966859983429996</v>
      </c>
      <c r="AJ205">
        <f>('CUMULS INDICES'!AH116/'CUMULS INDICES'!AH146)-1</f>
        <v>-5.5865921787709993E-3</v>
      </c>
      <c r="AK205">
        <f>('CUMULS INDICES'!AI116/'CUMULS INDICES'!AI146)-1</f>
        <v>-0.14634146341463417</v>
      </c>
      <c r="AL205">
        <f>('CUMULS INDICES'!AJ116/'CUMULS INDICES'!AJ146)-1</f>
        <v>-5.685131195335269E-2</v>
      </c>
      <c r="AM205">
        <f>('CUMULS INDICES'!AK116/'CUMULS INDICES'!AK146)-1</f>
        <v>4.4329896907216559E-2</v>
      </c>
      <c r="AN205">
        <f>('CUMULS INDICES'!AL116/'CUMULS INDICES'!AL146)-1</f>
        <v>-7.7777777777777724E-3</v>
      </c>
      <c r="AO205">
        <f>('CUMULS INDICES'!AM116/'CUMULS INDICES'!AM146)-1</f>
        <v>2.8472821397756753E-2</v>
      </c>
      <c r="AP205">
        <f>('CUMULS INDICES'!AN116/'CUMULS INDICES'!AN146)-1</f>
        <v>4.3749999999999956E-2</v>
      </c>
    </row>
    <row r="210" spans="1:12">
      <c r="A210" s="248" t="str">
        <f>"E. ÉVOLUTION A FIN "&amp;'A MODIFIER'!F4&amp;" PAR RAPPORT À "&amp;UPPER(TEXT(EDATE(DATE4,-1)," mmmmmmmm aaaa"))&amp;" (TRES COURT TERME)"</f>
        <v>E. ÉVOLUTION A FIN MAI 2026 PAR RAPPORT À  AVRIL 2026 (TRES COURT TERME)</v>
      </c>
      <c r="B210" s="248"/>
      <c r="C210" s="248"/>
    </row>
    <row r="212" spans="1:12">
      <c r="A212" s="34" t="s">
        <v>84</v>
      </c>
      <c r="B212" s="32" t="s">
        <v>47</v>
      </c>
      <c r="C212" t="s">
        <v>115</v>
      </c>
      <c r="D212" cm="1">
        <f t="array" ref="D212:D250">TRANSPOSE(D254:AP254)</f>
        <v>-2.3419203747072626E-3</v>
      </c>
      <c r="I212" t="str" cm="1">
        <f t="array" ref="I212:L250">_xlfn._xlws.SORT(A212:D250,4,-1,FALSE)</f>
        <v>https://www.insee.fr/fr/statistiques/serie/010763845</v>
      </c>
      <c r="J212" t="str">
        <v>010763845</v>
      </c>
      <c r="K212" t="str">
        <v>Tubes, tuyaux en matière plastique</v>
      </c>
      <c r="L212">
        <v>0.1064814814814814</v>
      </c>
    </row>
    <row r="213" spans="1:12">
      <c r="A213" s="37" t="s">
        <v>356</v>
      </c>
      <c r="B213">
        <v>8682743</v>
      </c>
      <c r="C213" t="s">
        <v>116</v>
      </c>
      <c r="D213">
        <v>0</v>
      </c>
      <c r="I213" t="str">
        <v>https://www.insee.fr/fr/statistiques/serie/010764160</v>
      </c>
      <c r="J213" t="str">
        <v>010764160</v>
      </c>
      <c r="K213" t="str">
        <v>Plaques, feuilles, tubes et profilés en matières plastiques</v>
      </c>
      <c r="L213">
        <v>8.1761006289308158E-2</v>
      </c>
    </row>
    <row r="214" spans="1:12">
      <c r="A214" s="34" t="s">
        <v>85</v>
      </c>
      <c r="B214" s="32" t="s">
        <v>49</v>
      </c>
      <c r="C214" t="s">
        <v>117</v>
      </c>
      <c r="D214">
        <v>0</v>
      </c>
      <c r="I214" t="str">
        <v>https://www.insee.fr/fr/statistiques/serie/010766236</v>
      </c>
      <c r="J214" t="str">
        <v>010766236</v>
      </c>
      <c r="K214" t="str">
        <v>Barres crénelées ou nervurées pour béton armé</v>
      </c>
      <c r="L214">
        <v>4.4906900328587129E-2</v>
      </c>
    </row>
    <row r="215" spans="1:12">
      <c r="A215" s="34" t="s">
        <v>279</v>
      </c>
      <c r="B215" s="32" t="s">
        <v>317</v>
      </c>
      <c r="C215" t="s">
        <v>316</v>
      </c>
      <c r="D215">
        <v>-7.5987841945288737E-2</v>
      </c>
      <c r="I215" t="str">
        <v>https://www.insee.fr/fr/statistiques/serie/010764149</v>
      </c>
      <c r="J215" t="str">
        <v>010764149</v>
      </c>
      <c r="K215" t="str">
        <v>Autres produits chimiques</v>
      </c>
      <c r="L215">
        <v>3.3101045296167309E-2</v>
      </c>
    </row>
    <row r="216" spans="1:12">
      <c r="A216" s="34" t="s">
        <v>86</v>
      </c>
      <c r="B216" s="32" t="s">
        <v>50</v>
      </c>
      <c r="C216" t="s">
        <v>118</v>
      </c>
      <c r="D216">
        <v>-5.0742395848349608E-2</v>
      </c>
      <c r="I216" t="str">
        <v>https://www.insee.fr/fr/statistiques/serie/010765839</v>
      </c>
      <c r="J216" t="str">
        <v>010765839</v>
      </c>
      <c r="K216" t="str">
        <v>Tôles quarto et autres produits plats en aciers non alliés de qualité</v>
      </c>
      <c r="L216">
        <v>2.2909507445589838E-2</v>
      </c>
    </row>
    <row r="217" spans="1:12">
      <c r="A217" s="34" t="s">
        <v>87</v>
      </c>
      <c r="B217" s="32" t="s">
        <v>51</v>
      </c>
      <c r="C217" t="s">
        <v>119</v>
      </c>
      <c r="D217">
        <v>-5.7660626029654161E-3</v>
      </c>
      <c r="I217" t="str">
        <v>https://www.insee.fr/fr/statistiques/serie/010764143</v>
      </c>
      <c r="J217" t="str">
        <v>010764143</v>
      </c>
      <c r="K217" t="str">
        <v>Matières plastiques sous formes primaires</v>
      </c>
      <c r="L217">
        <v>1.9230769230769384E-2</v>
      </c>
    </row>
    <row r="218" spans="1:12">
      <c r="A218" s="34" t="s">
        <v>88</v>
      </c>
      <c r="B218" s="32" t="s">
        <v>52</v>
      </c>
      <c r="C218" t="s">
        <v>120</v>
      </c>
      <c r="D218">
        <v>0</v>
      </c>
      <c r="I218" t="str">
        <v>https://www.insee.fr/fr/statistiques/serie/010763825</v>
      </c>
      <c r="J218" t="str">
        <v>010763825</v>
      </c>
      <c r="K218" t="str">
        <v>Peintures Industries</v>
      </c>
      <c r="L218">
        <v>1.5698587127158659E-2</v>
      </c>
    </row>
    <row r="219" spans="1:12">
      <c r="A219" s="34" t="s">
        <v>280</v>
      </c>
      <c r="B219" s="186" t="s">
        <v>320</v>
      </c>
      <c r="C219" t="s">
        <v>121</v>
      </c>
      <c r="D219">
        <v>-0.11816720257234725</v>
      </c>
      <c r="I219" t="str">
        <v>https://www.insee.fr/fr/statistiques/serie/010764301</v>
      </c>
      <c r="J219" t="str">
        <v>010764301</v>
      </c>
      <c r="K219" t="str">
        <v>Collecte, traitement et élimination des déchets ; récupération de matériaux</v>
      </c>
      <c r="L219">
        <v>1.5638575152041811E-2</v>
      </c>
    </row>
    <row r="220" spans="1:12">
      <c r="A220" s="158" t="s">
        <v>281</v>
      </c>
      <c r="B220" s="186" t="s">
        <v>321</v>
      </c>
      <c r="C220" t="s">
        <v>263</v>
      </c>
      <c r="D220">
        <v>-0.10147299509001639</v>
      </c>
      <c r="I220" t="str">
        <v>https://www.insee.fr/fr/statistiques/serie/010764176</v>
      </c>
      <c r="J220" t="str">
        <v>010764176</v>
      </c>
      <c r="K220" t="str">
        <v>Ciment, chaux et plâtre</v>
      </c>
      <c r="L220">
        <v>1.5425888665325349E-2</v>
      </c>
    </row>
    <row r="221" spans="1:12" ht="30">
      <c r="A221" s="34" t="s">
        <v>90</v>
      </c>
      <c r="B221" s="32" t="s">
        <v>55</v>
      </c>
      <c r="C221" t="s">
        <v>55</v>
      </c>
      <c r="D221">
        <v>-7.8121274735754587E-2</v>
      </c>
      <c r="I221" t="str">
        <v>https://www.insee.fr/fr/statistiques/serie/010764187</v>
      </c>
      <c r="J221" t="str">
        <v>010764187</v>
      </c>
      <c r="K221" t="str">
        <v>Tubes, tuyaux, profilés creux et accessoires correspondants en acier</v>
      </c>
      <c r="L221">
        <v>1.4516129032257963E-2</v>
      </c>
    </row>
    <row r="222" spans="1:12">
      <c r="A222" s="34" t="s">
        <v>282</v>
      </c>
      <c r="B222" s="32" t="s">
        <v>322</v>
      </c>
      <c r="C222" t="s">
        <v>122</v>
      </c>
      <c r="D222">
        <v>0.1064814814814814</v>
      </c>
      <c r="I222" t="str">
        <v>https://www.insee.fr/fr/statistiques/serie/010763881</v>
      </c>
      <c r="J222" t="str">
        <v>010763881</v>
      </c>
      <c r="K222" t="str">
        <v>Produits sidérurgiques en acier non allié</v>
      </c>
      <c r="L222">
        <v>1.401401401401392E-2</v>
      </c>
    </row>
    <row r="223" spans="1:12">
      <c r="A223" s="34" t="s">
        <v>284</v>
      </c>
      <c r="B223" s="186" t="s">
        <v>283</v>
      </c>
      <c r="C223" t="s">
        <v>123</v>
      </c>
      <c r="D223">
        <v>0</v>
      </c>
      <c r="I223" t="str">
        <v>https://www.insee.fr/fr/statistiques/serie/010764172</v>
      </c>
      <c r="J223" t="str">
        <v>010764172</v>
      </c>
      <c r="K223" t="str">
        <v>Tuiles, briques et produits de construction en terre cuite</v>
      </c>
      <c r="L223">
        <v>1.2142857142857011E-2</v>
      </c>
    </row>
    <row r="224" spans="1:12">
      <c r="A224" s="34" t="s">
        <v>285</v>
      </c>
      <c r="B224" s="186" t="s">
        <v>323</v>
      </c>
      <c r="C224" t="s">
        <v>124</v>
      </c>
      <c r="D224">
        <v>-7.2727272727273196E-3</v>
      </c>
      <c r="I224" t="str">
        <v>https://www.insee.fr/fr/statistiques/serie/010764195</v>
      </c>
      <c r="J224" t="str">
        <v>010764195</v>
      </c>
      <c r="K224" t="str">
        <v>Travaux de fonderie de fonte</v>
      </c>
      <c r="L224">
        <v>9.1954022988505191E-3</v>
      </c>
    </row>
    <row r="225" spans="1:12">
      <c r="A225" s="34" t="s">
        <v>286</v>
      </c>
      <c r="B225" s="186" t="s">
        <v>324</v>
      </c>
      <c r="C225" t="s">
        <v>125</v>
      </c>
      <c r="D225">
        <v>4.4906900328587129E-2</v>
      </c>
      <c r="I225" t="str">
        <v>https://www.insee.fr/fr/statistiques/serie/010764834</v>
      </c>
      <c r="J225" t="str">
        <v>010764834</v>
      </c>
      <c r="K225" t="str">
        <v>Câbles de fibres optiques</v>
      </c>
      <c r="L225">
        <v>5.9880239520957446E-3</v>
      </c>
    </row>
    <row r="226" spans="1:12">
      <c r="A226" s="34" t="s">
        <v>287</v>
      </c>
      <c r="B226" s="195" t="s">
        <v>319</v>
      </c>
      <c r="C226" t="s">
        <v>126</v>
      </c>
      <c r="D226">
        <v>-8.2644628099173278E-3</v>
      </c>
      <c r="I226" t="str">
        <v>https://www.insee.fr/fr/statistiques/serie/010764101</v>
      </c>
      <c r="J226" t="str">
        <v>010764101</v>
      </c>
      <c r="K226" t="str">
        <v>Autres textiles</v>
      </c>
      <c r="L226">
        <v>4.2122999157538921E-3</v>
      </c>
    </row>
    <row r="227" spans="1:12">
      <c r="A227" s="34" t="s">
        <v>288</v>
      </c>
      <c r="B227" s="32" t="s">
        <v>325</v>
      </c>
      <c r="C227" t="s">
        <v>127</v>
      </c>
      <c r="D227">
        <v>8.1761006289308158E-2</v>
      </c>
      <c r="I227" t="str">
        <v>https://www.insee.fr/fr/statistiques/serie/010764181</v>
      </c>
      <c r="J227" t="str">
        <v>010764181</v>
      </c>
      <c r="K227" t="str">
        <v>Mortiers et bétons secs</v>
      </c>
      <c r="L227">
        <v>3.4158838599487318E-3</v>
      </c>
    </row>
    <row r="228" spans="1:12">
      <c r="A228" s="34" t="s">
        <v>289</v>
      </c>
      <c r="B228" s="32" t="s">
        <v>326</v>
      </c>
      <c r="C228" t="s">
        <v>128</v>
      </c>
      <c r="D228">
        <v>1.5425888665325349E-2</v>
      </c>
      <c r="I228" t="str">
        <v>https://www.insee.fr/fr/statistiques/serie/010764179</v>
      </c>
      <c r="J228" t="str">
        <v>010764179</v>
      </c>
      <c r="K228" t="str">
        <v>Éléments en béton pour la construction</v>
      </c>
      <c r="L228">
        <v>1.6920473773265332E-3</v>
      </c>
    </row>
    <row r="229" spans="1:12">
      <c r="A229" s="34" t="s">
        <v>290</v>
      </c>
      <c r="B229" s="32" t="s">
        <v>327</v>
      </c>
      <c r="C229" t="s">
        <v>258</v>
      </c>
      <c r="D229">
        <v>3.3101045296167309E-2</v>
      </c>
      <c r="I229" t="str">
        <v>https://www.insee.fr/fr/statistiques/serie/010764306</v>
      </c>
      <c r="J229" t="str">
        <v>010764306</v>
      </c>
      <c r="K229" t="str">
        <v>Traitement et élimination des déchets non dangereux</v>
      </c>
      <c r="L229">
        <v>1.6806722689075571E-3</v>
      </c>
    </row>
    <row r="230" spans="1:12">
      <c r="A230" s="34" t="s">
        <v>291</v>
      </c>
      <c r="B230" s="32" t="s">
        <v>328</v>
      </c>
      <c r="C230" t="s">
        <v>129</v>
      </c>
      <c r="D230">
        <v>0</v>
      </c>
      <c r="I230" t="str">
        <v>https://www.insee.fr/fr/statistiques/serie/010764223</v>
      </c>
      <c r="J230" t="str">
        <v>010764223</v>
      </c>
      <c r="K230" t="str">
        <v>Moteurs, génératrices, transfo. électr., matér. distrib., cmde électr.</v>
      </c>
      <c r="L230">
        <v>1.4992503748125774E-3</v>
      </c>
    </row>
    <row r="231" spans="1:12">
      <c r="A231" s="34" t="s">
        <v>292</v>
      </c>
      <c r="B231" s="32" t="s">
        <v>329</v>
      </c>
      <c r="C231" t="s">
        <v>130</v>
      </c>
      <c r="D231">
        <v>-2.6702269692924219E-3</v>
      </c>
      <c r="I231" t="str">
        <v>https://www.insee.fr/fr/statistiques/8682743</v>
      </c>
      <c r="J231">
        <v>8682743</v>
      </c>
      <c r="K231" t="str">
        <v>Travail</v>
      </c>
      <c r="L231">
        <v>0</v>
      </c>
    </row>
    <row r="232" spans="1:12">
      <c r="A232" s="34" t="s">
        <v>293</v>
      </c>
      <c r="B232" s="32" t="s">
        <v>330</v>
      </c>
      <c r="C232" t="s">
        <v>131</v>
      </c>
      <c r="D232">
        <v>-5.6588520614390125E-3</v>
      </c>
      <c r="I232" t="str">
        <v>https://www.insee.fr/fr/statistiques/serie/001565195</v>
      </c>
      <c r="J232" t="str">
        <v>001565195</v>
      </c>
      <c r="K232" t="str">
        <v>Travail activités spécialisées</v>
      </c>
      <c r="L232">
        <v>0</v>
      </c>
    </row>
    <row r="233" spans="1:12">
      <c r="A233" s="34" t="s">
        <v>294</v>
      </c>
      <c r="B233" s="32" t="s">
        <v>331</v>
      </c>
      <c r="C233" t="s">
        <v>132</v>
      </c>
      <c r="D233">
        <v>3.4158838599487318E-3</v>
      </c>
      <c r="I233" t="str">
        <v>https://www.insee.fr/fr/statistiques/serie/001711943</v>
      </c>
      <c r="J233" t="str">
        <v>001711943</v>
      </c>
      <c r="K233" t="str">
        <v>Transports routiers</v>
      </c>
      <c r="L233">
        <v>0</v>
      </c>
    </row>
    <row r="234" spans="1:12">
      <c r="A234" s="34" t="s">
        <v>295</v>
      </c>
      <c r="B234" s="32" t="s">
        <v>332</v>
      </c>
      <c r="C234" t="s">
        <v>133</v>
      </c>
      <c r="D234">
        <v>9.1954022988505191E-3</v>
      </c>
      <c r="I234" t="str">
        <v>https://www.insee.fr/fr/statistiques/serie/010764116#Tableau</v>
      </c>
      <c r="J234" t="str">
        <v> 010764116</v>
      </c>
      <c r="K234" t="str">
        <v>Ensemble des produits du sciage</v>
      </c>
      <c r="L234">
        <v>0</v>
      </c>
    </row>
    <row r="235" spans="1:12">
      <c r="A235" s="34" t="s">
        <v>296</v>
      </c>
      <c r="B235" s="32" t="s">
        <v>333</v>
      </c>
      <c r="C235" t="s">
        <v>134</v>
      </c>
      <c r="D235">
        <v>1.2142857142857011E-2</v>
      </c>
      <c r="I235" t="str">
        <v>https://www.insee.fr/fr/statistiques/serie/010765837</v>
      </c>
      <c r="J235" t="str">
        <v>010765837</v>
      </c>
      <c r="K235" t="str">
        <v>Acier pour la construction</v>
      </c>
      <c r="L235">
        <v>0</v>
      </c>
    </row>
    <row r="236" spans="1:12">
      <c r="A236" s="158" t="s">
        <v>297</v>
      </c>
      <c r="B236" s="32" t="s">
        <v>334</v>
      </c>
      <c r="C236" t="s">
        <v>266</v>
      </c>
      <c r="D236">
        <v>0</v>
      </c>
      <c r="I236" t="str">
        <v>https://www.insee.fr/fr/statistiques/serie/010766292</v>
      </c>
      <c r="J236" t="str">
        <v>010766292</v>
      </c>
      <c r="K236" t="str">
        <v>Réseaux d’assainissement</v>
      </c>
      <c r="L236">
        <v>0</v>
      </c>
    </row>
    <row r="237" spans="1:12">
      <c r="A237" s="34" t="s">
        <v>298</v>
      </c>
      <c r="B237" s="32" t="s">
        <v>335</v>
      </c>
      <c r="C237" t="s">
        <v>261</v>
      </c>
      <c r="D237">
        <v>4.2122999157538921E-3</v>
      </c>
      <c r="I237" t="str">
        <v>https://www.insee.fr/fr/statistiques/serie/010763930</v>
      </c>
      <c r="J237" t="str">
        <v>010763930</v>
      </c>
      <c r="K237" t="str">
        <v>Fils et câbles d'énergie</v>
      </c>
      <c r="L237">
        <v>0</v>
      </c>
    </row>
    <row r="238" spans="1:12">
      <c r="A238" s="34" t="s">
        <v>299</v>
      </c>
      <c r="B238" s="32" t="s">
        <v>336</v>
      </c>
      <c r="C238" t="s">
        <v>135</v>
      </c>
      <c r="D238">
        <v>1.9230769230769384E-2</v>
      </c>
      <c r="I238" t="str">
        <v>https://www.insee.fr/fr/statistiques/serie/010764224</v>
      </c>
      <c r="J238" t="str">
        <v>010764224</v>
      </c>
      <c r="K238" t="str">
        <v>Matériel de distribution et de commande électrique</v>
      </c>
      <c r="L238">
        <v>0</v>
      </c>
    </row>
    <row r="239" spans="1:12">
      <c r="A239" s="34" t="s">
        <v>300</v>
      </c>
      <c r="B239" s="32" t="s">
        <v>337</v>
      </c>
      <c r="C239" t="s">
        <v>136</v>
      </c>
      <c r="D239">
        <v>1.4516129032257963E-2</v>
      </c>
      <c r="I239" t="str">
        <v>https://www.insee.fr/fr/statistiques/serie/001711009</v>
      </c>
      <c r="J239" t="str">
        <v>001711009</v>
      </c>
      <c r="K239" t="str">
        <v>Matériel</v>
      </c>
      <c r="L239">
        <v>-2.3419203747072626E-3</v>
      </c>
    </row>
    <row r="240" spans="1:12">
      <c r="A240" s="158" t="s">
        <v>301</v>
      </c>
      <c r="B240" s="32" t="s">
        <v>338</v>
      </c>
      <c r="C240" t="s">
        <v>137</v>
      </c>
      <c r="D240">
        <v>1.6920473773265332E-3</v>
      </c>
      <c r="I240" t="str">
        <v>https://www.insee.fr/fr/statistiques/serie/010764136</v>
      </c>
      <c r="J240" t="str">
        <v>010764136</v>
      </c>
      <c r="K240" t="str">
        <v>Bitume</v>
      </c>
      <c r="L240">
        <v>-2.6702269692924219E-3</v>
      </c>
    </row>
    <row r="241" spans="1:44">
      <c r="A241" s="34" t="s">
        <v>302</v>
      </c>
      <c r="B241" s="32" t="s">
        <v>339</v>
      </c>
      <c r="C241" t="s">
        <v>138</v>
      </c>
      <c r="D241">
        <v>0</v>
      </c>
      <c r="I241" t="str">
        <v>https://www.insee.fr/fr/statistiques/serie/010764228</v>
      </c>
      <c r="J241" t="str">
        <v>010764228</v>
      </c>
      <c r="K241" t="str">
        <v>Appareils d'éclairage électrique</v>
      </c>
      <c r="L241">
        <v>-3.7313432835821558E-3</v>
      </c>
    </row>
    <row r="242" spans="1:44">
      <c r="A242" s="34" t="s">
        <v>303</v>
      </c>
      <c r="B242" s="32" t="s">
        <v>340</v>
      </c>
      <c r="C242" t="s">
        <v>139</v>
      </c>
      <c r="D242">
        <v>1.4992503748125774E-3</v>
      </c>
      <c r="I242" t="str">
        <v>https://www.insee.fr/fr/statistiques/serie/010763871</v>
      </c>
      <c r="J242" t="str">
        <v>010763871</v>
      </c>
      <c r="K242" t="str">
        <v>Produits de voierie en béton</v>
      </c>
      <c r="L242">
        <v>-5.6588520614390125E-3</v>
      </c>
    </row>
    <row r="243" spans="1:44">
      <c r="A243" s="34" t="s">
        <v>304</v>
      </c>
      <c r="B243" s="32" t="s">
        <v>341</v>
      </c>
      <c r="C243" t="s">
        <v>140</v>
      </c>
      <c r="D243">
        <v>0</v>
      </c>
      <c r="I243" t="str">
        <v>https://www.insee.fr/fr/statistiques/serie/001711011</v>
      </c>
      <c r="J243" t="str">
        <v>001711011</v>
      </c>
      <c r="K243" t="str">
        <v>Frais divers</v>
      </c>
      <c r="L243">
        <v>-5.7660626029654161E-3</v>
      </c>
    </row>
    <row r="244" spans="1:44">
      <c r="A244" s="34" t="s">
        <v>318</v>
      </c>
      <c r="B244" s="32" t="s">
        <v>342</v>
      </c>
      <c r="C244" t="s">
        <v>141</v>
      </c>
      <c r="D244">
        <v>-3.7313432835821558E-3</v>
      </c>
      <c r="I244" t="str">
        <v>https://www.insee.fr/fr/statistiques/serie/010764180</v>
      </c>
      <c r="J244" t="str">
        <v>010764180</v>
      </c>
      <c r="K244" t="str">
        <v>Béton prêt à l'emploi</v>
      </c>
      <c r="L244">
        <v>-7.2727272727273196E-3</v>
      </c>
    </row>
    <row r="245" spans="1:44">
      <c r="A245" s="34" t="s">
        <v>305</v>
      </c>
      <c r="B245" s="32" t="s">
        <v>343</v>
      </c>
      <c r="C245" t="s">
        <v>142</v>
      </c>
      <c r="D245">
        <v>5.9880239520957446E-3</v>
      </c>
      <c r="I245" t="str">
        <v>https://www.insee.fr/fr/statistiques/serie/010765500</v>
      </c>
      <c r="J245" t="str">
        <v>010765500</v>
      </c>
      <c r="K245" t="str">
        <v>Sables et granulats</v>
      </c>
      <c r="L245">
        <v>-8.2644628099173278E-3</v>
      </c>
    </row>
    <row r="246" spans="1:44">
      <c r="A246" s="34" t="s">
        <v>306</v>
      </c>
      <c r="B246" s="32" t="s">
        <v>344</v>
      </c>
      <c r="C246" t="s">
        <v>143</v>
      </c>
      <c r="D246">
        <v>1.5698587127158659E-2</v>
      </c>
      <c r="I246" t="str">
        <v>https://www.insee.fr/fr/statistiques/serie/001764283</v>
      </c>
      <c r="J246" t="str">
        <v>001764283</v>
      </c>
      <c r="K246" t="str">
        <v>Gazole</v>
      </c>
      <c r="L246">
        <v>-5.0742395848349608E-2</v>
      </c>
    </row>
    <row r="247" spans="1:44">
      <c r="A247" s="34" t="s">
        <v>307</v>
      </c>
      <c r="B247" s="32" t="s">
        <v>345</v>
      </c>
      <c r="C247" t="s">
        <v>144</v>
      </c>
      <c r="D247">
        <v>1.401401401401392E-2</v>
      </c>
      <c r="I247" t="str">
        <v>https://www.insee.fr/fr/statistiques/serie/010777519</v>
      </c>
      <c r="J247" t="str">
        <v>010777519</v>
      </c>
      <c r="K247" t="str">
        <v>GNR pour les Travaux Publics</v>
      </c>
      <c r="L247">
        <v>-7.5987841945288737E-2</v>
      </c>
    </row>
    <row r="248" spans="1:44">
      <c r="A248" s="34" t="s">
        <v>308</v>
      </c>
      <c r="B248" s="32" t="s">
        <v>346</v>
      </c>
      <c r="C248" t="s">
        <v>145</v>
      </c>
      <c r="D248">
        <v>2.2909507445589838E-2</v>
      </c>
      <c r="I248" t="str">
        <v>https://www.fntp.fr/sites/default/files/content/indice_gazole_htt.pdf</v>
      </c>
      <c r="J248" t="str">
        <v>Gazole routier HTT</v>
      </c>
      <c r="K248" t="str">
        <v>Gazole routier HTT</v>
      </c>
      <c r="L248">
        <v>-7.8121274735754587E-2</v>
      </c>
    </row>
    <row r="249" spans="1:44">
      <c r="A249" s="34" t="s">
        <v>309</v>
      </c>
      <c r="B249" s="32" t="s">
        <v>347</v>
      </c>
      <c r="C249" t="s">
        <v>148</v>
      </c>
      <c r="D249">
        <v>1.6806722689075571E-3</v>
      </c>
      <c r="I249" t="str">
        <v>https://www.insee.fr/fr/statistiques/serie/010764297</v>
      </c>
      <c r="J249" t="str">
        <v>010764297</v>
      </c>
      <c r="K249" t="str">
        <v>Gaz naturel</v>
      </c>
      <c r="L249">
        <v>-0.10147299509001639</v>
      </c>
    </row>
    <row r="250" spans="1:44">
      <c r="A250" s="34" t="s">
        <v>310</v>
      </c>
      <c r="B250" s="32" t="s">
        <v>348</v>
      </c>
      <c r="C250" t="s">
        <v>149</v>
      </c>
      <c r="D250">
        <v>1.5638575152041811E-2</v>
      </c>
      <c r="I250" t="str">
        <v>https://www.insee.fr/fr/statistiques/serie/010764291</v>
      </c>
      <c r="J250" t="str">
        <v>010764291</v>
      </c>
      <c r="K250" t="str">
        <v>Électricité vendue aux entreprises consommatrices finales</v>
      </c>
      <c r="L250">
        <v>-0.11816720257234725</v>
      </c>
    </row>
    <row r="254" spans="1:44">
      <c r="D254" s="142">
        <f>'CUMULS INDICES'!B116/'CUMULS INDICES'!B115-1</f>
        <v>-2.3419203747072626E-3</v>
      </c>
      <c r="E254" s="142">
        <f>'CUMULS INDICES'!C116/'CUMULS INDICES'!C115-1</f>
        <v>0</v>
      </c>
      <c r="F254" s="142">
        <f>'CUMULS INDICES'!D116/'CUMULS INDICES'!D115-1</f>
        <v>0</v>
      </c>
      <c r="G254" s="142">
        <f>'CUMULS INDICES'!E116/'CUMULS INDICES'!E115-1</f>
        <v>-7.5987841945288737E-2</v>
      </c>
      <c r="H254" s="142">
        <f>'CUMULS INDICES'!F116/'CUMULS INDICES'!F115-1</f>
        <v>-5.0742395848349608E-2</v>
      </c>
      <c r="I254" s="142">
        <f>'CUMULS INDICES'!G116/'CUMULS INDICES'!G115-1</f>
        <v>-5.7660626029654161E-3</v>
      </c>
      <c r="J254" s="142">
        <f>'CUMULS INDICES'!H116/'CUMULS INDICES'!H115-1</f>
        <v>0</v>
      </c>
      <c r="K254" s="142">
        <f>'CUMULS INDICES'!I116/'CUMULS INDICES'!I115-1</f>
        <v>-0.11816720257234725</v>
      </c>
      <c r="L254" s="142">
        <f>'CUMULS INDICES'!J116/'CUMULS INDICES'!J115-1</f>
        <v>-0.10147299509001639</v>
      </c>
      <c r="M254" s="142">
        <f>'CUMULS INDICES'!K116/'CUMULS INDICES'!K115-1</f>
        <v>-7.8121274735754587E-2</v>
      </c>
      <c r="N254" s="142">
        <f>'CUMULS INDICES'!L116/'CUMULS INDICES'!L115-1</f>
        <v>0.1064814814814814</v>
      </c>
      <c r="O254" s="142">
        <f>'CUMULS INDICES'!M116/'CUMULS INDICES'!M115-1</f>
        <v>0</v>
      </c>
      <c r="P254" s="142">
        <f>'CUMULS INDICES'!N116/'CUMULS INDICES'!N115-1</f>
        <v>-7.2727272727273196E-3</v>
      </c>
      <c r="Q254" s="142">
        <f>'CUMULS INDICES'!O116/'CUMULS INDICES'!O115-1</f>
        <v>4.4906900328587129E-2</v>
      </c>
      <c r="R254" s="142">
        <f>'CUMULS INDICES'!P116/'CUMULS INDICES'!P115-1</f>
        <v>-8.2644628099173278E-3</v>
      </c>
      <c r="S254" s="142">
        <f>'CUMULS INDICES'!Q116/'CUMULS INDICES'!Q115-1</f>
        <v>8.1761006289308158E-2</v>
      </c>
      <c r="T254" s="142">
        <f>'CUMULS INDICES'!R116/'CUMULS INDICES'!R115-1</f>
        <v>1.5425888665325349E-2</v>
      </c>
      <c r="U254" s="142">
        <f>'CUMULS INDICES'!S116/'CUMULS INDICES'!S115-1</f>
        <v>3.3101045296167309E-2</v>
      </c>
      <c r="V254" s="142">
        <f>'CUMULS INDICES'!T116/'CUMULS INDICES'!T115-1</f>
        <v>0</v>
      </c>
      <c r="W254" s="142">
        <f>'CUMULS INDICES'!U116/'CUMULS INDICES'!U115-1</f>
        <v>-2.6702269692924219E-3</v>
      </c>
      <c r="X254" s="142">
        <f>'CUMULS INDICES'!V116/'CUMULS INDICES'!V115-1</f>
        <v>-5.6588520614390125E-3</v>
      </c>
      <c r="Y254" s="142">
        <f>'CUMULS INDICES'!W116/'CUMULS INDICES'!W115-1</f>
        <v>3.4158838599487318E-3</v>
      </c>
      <c r="Z254" s="142">
        <f>'CUMULS INDICES'!X116/'CUMULS INDICES'!X115-1</f>
        <v>9.1954022988505191E-3</v>
      </c>
      <c r="AA254" s="142">
        <f>'CUMULS INDICES'!Y116/'CUMULS INDICES'!Y115-1</f>
        <v>1.2142857142857011E-2</v>
      </c>
      <c r="AB254" s="142">
        <f>'CUMULS INDICES'!Z116/'CUMULS INDICES'!Z115-1</f>
        <v>0</v>
      </c>
      <c r="AC254" s="142">
        <f>'CUMULS INDICES'!AA116/'CUMULS INDICES'!AA115-1</f>
        <v>4.2122999157538921E-3</v>
      </c>
      <c r="AD254" s="142">
        <f>'CUMULS INDICES'!AB116/'CUMULS INDICES'!AB115-1</f>
        <v>1.9230769230769384E-2</v>
      </c>
      <c r="AE254" s="142">
        <f>'CUMULS INDICES'!AC116/'CUMULS INDICES'!AC115-1</f>
        <v>1.4516129032257963E-2</v>
      </c>
      <c r="AF254" s="142">
        <f>'CUMULS INDICES'!AD116/'CUMULS INDICES'!AD115-1</f>
        <v>1.6920473773265332E-3</v>
      </c>
      <c r="AG254" s="142">
        <f>'CUMULS INDICES'!AE116/'CUMULS INDICES'!AE115-1</f>
        <v>0</v>
      </c>
      <c r="AH254" s="142">
        <f>'CUMULS INDICES'!AF116/'CUMULS INDICES'!AF115-1</f>
        <v>1.4992503748125774E-3</v>
      </c>
      <c r="AI254" s="142">
        <f>'CUMULS INDICES'!AG116/'CUMULS INDICES'!AG115-1</f>
        <v>0</v>
      </c>
      <c r="AJ254" s="142">
        <f>'CUMULS INDICES'!AH116/'CUMULS INDICES'!AH115-1</f>
        <v>-3.7313432835821558E-3</v>
      </c>
      <c r="AK254" s="142">
        <f>'CUMULS INDICES'!AI116/'CUMULS INDICES'!AI115-1</f>
        <v>5.9880239520957446E-3</v>
      </c>
      <c r="AL254" s="142">
        <f>'CUMULS INDICES'!AJ116/'CUMULS INDICES'!AJ115-1</f>
        <v>1.5698587127158659E-2</v>
      </c>
      <c r="AM254" s="142">
        <f>'CUMULS INDICES'!AK116/'CUMULS INDICES'!AK115-1</f>
        <v>1.401401401401392E-2</v>
      </c>
      <c r="AN254" s="142">
        <f>'CUMULS INDICES'!AL116/'CUMULS INDICES'!AL115-1</f>
        <v>2.2909507445589838E-2</v>
      </c>
      <c r="AO254" s="142">
        <f>'CUMULS INDICES'!AM116/'CUMULS INDICES'!AM115-1</f>
        <v>1.6806722689075571E-3</v>
      </c>
      <c r="AP254" s="142">
        <f>'CUMULS INDICES'!AN116/'CUMULS INDICES'!AN115-1</f>
        <v>1.5638575152041811E-2</v>
      </c>
      <c r="AQ254" s="142"/>
      <c r="AR254" s="142"/>
    </row>
  </sheetData>
  <sheetProtection algorithmName="SHA-512" hashValue="O0PPNiPz0DA+tgRh6vksBhYqHJOyyYHUZQQ79GeX3CebjlU8e6qlPXm9KxRnjhhoyJ/Gy8I7DHc5r3sXPx2nUQ==" saltValue="ot8toDf3xY6m0slMdcF5ZQ==" spinCount="100000" sheet="1" insertColumns="0" insertRows="0" insertHyperlinks="0" deleteColumns="0" deleteRows="0" sort="0" autoFilter="0"/>
  <mergeCells count="10">
    <mergeCell ref="A1:G2"/>
    <mergeCell ref="A4:E4"/>
    <mergeCell ref="A105:E105"/>
    <mergeCell ref="A53:C53"/>
    <mergeCell ref="B55:E55"/>
    <mergeCell ref="J55:M55"/>
    <mergeCell ref="B6:E6"/>
    <mergeCell ref="J6:M6"/>
    <mergeCell ref="A157:C157"/>
    <mergeCell ref="A210:C210"/>
  </mergeCells>
  <hyperlinks>
    <hyperlink ref="A169" r:id="rId1" display="https://www.insee.fr/fr/statistiques/serie/010534776" xr:uid="{37C91ED9-C7F7-4EF2-A25F-5694D0026C27}"/>
    <hyperlink ref="A117" r:id="rId2" display="https://www.insee.fr/fr/statistiques/serie/010534776" xr:uid="{09FA602C-F49F-425C-8C13-9B19231E31DE}"/>
    <hyperlink ref="A65" r:id="rId3" display="https://www.insee.fr/fr/statistiques/serie/010534776" xr:uid="{003EA975-8971-4674-B0BB-057D8F9CD29D}"/>
    <hyperlink ref="A16" r:id="rId4" xr:uid="{72F12126-0AE1-492E-BEF5-12D7D79231CF}"/>
    <hyperlink ref="A236" r:id="rId5" xr:uid="{617EE576-FA7D-4C38-A3DE-627EB68FCF74}"/>
    <hyperlink ref="A240" r:id="rId6" xr:uid="{2E3EF559-2FD6-4860-ABF9-7A36C914E916}"/>
    <hyperlink ref="A213" r:id="rId7" xr:uid="{1EC2CEC9-DD1A-4D1F-B845-0D2AF15B1780}"/>
    <hyperlink ref="A162" r:id="rId8" xr:uid="{6DE0D53F-7DEA-47DC-B172-57E5710CAD3C}"/>
    <hyperlink ref="A110" r:id="rId9" xr:uid="{4D291414-D898-4C39-A53E-5EAC62066203}"/>
    <hyperlink ref="A58" r:id="rId10" xr:uid="{12B089EE-AD33-4279-8ECB-54003CF5CFEA}"/>
    <hyperlink ref="A9" r:id="rId11" xr:uid="{6DBBFDF6-FFC3-457F-8F63-A18D3695EBF1}"/>
    <hyperlink ref="A12" r:id="rId12" xr:uid="{9CE212DF-250A-43ED-B4A5-5DDA56B521EE}"/>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0170C-4585-4686-AB3D-EC73BE631CD7}">
  <sheetPr codeName="Feuil25">
    <pageSetUpPr fitToPage="1"/>
  </sheetPr>
  <dimension ref="A1:G63"/>
  <sheetViews>
    <sheetView showGridLines="0" tabSelected="1" zoomScaleNormal="100" workbookViewId="0">
      <selection activeCell="G26" sqref="G26"/>
    </sheetView>
  </sheetViews>
  <sheetFormatPr baseColWidth="10" defaultRowHeight="15"/>
  <cols>
    <col min="1" max="1" width="6.85546875" customWidth="1"/>
    <col min="2" max="2" width="46.7109375" customWidth="1"/>
    <col min="3" max="3" width="38.42578125" customWidth="1"/>
    <col min="4" max="4" width="6.85546875" customWidth="1"/>
    <col min="7" max="7" width="52" style="200" customWidth="1"/>
  </cols>
  <sheetData>
    <row r="1" spans="1:4">
      <c r="A1" s="260" t="s">
        <v>232</v>
      </c>
      <c r="B1" s="260"/>
      <c r="C1" s="260"/>
      <c r="D1" s="260"/>
    </row>
    <row r="2" spans="1:4">
      <c r="A2" s="119"/>
      <c r="B2" s="119"/>
      <c r="C2" s="119"/>
      <c r="D2" s="119"/>
    </row>
    <row r="3" spans="1:4">
      <c r="A3" s="119"/>
      <c r="B3" s="119"/>
      <c r="C3" s="119"/>
      <c r="D3" s="119"/>
    </row>
    <row r="4" spans="1:4">
      <c r="A4" s="120"/>
      <c r="B4" s="119"/>
      <c r="C4" s="119"/>
      <c r="D4" s="120"/>
    </row>
    <row r="5" spans="1:4" ht="15" customHeight="1">
      <c r="A5" s="254" t="s">
        <v>233</v>
      </c>
      <c r="B5" s="254"/>
      <c r="C5" s="254"/>
      <c r="D5" s="254"/>
    </row>
    <row r="6" spans="1:4">
      <c r="A6" s="254"/>
      <c r="B6" s="254"/>
      <c r="C6" s="254"/>
      <c r="D6" s="254"/>
    </row>
    <row r="7" spans="1:4">
      <c r="A7" s="254"/>
      <c r="B7" s="254"/>
      <c r="C7" s="254"/>
      <c r="D7" s="254"/>
    </row>
    <row r="8" spans="1:4" ht="24.75" customHeight="1">
      <c r="A8" s="258" t="str">
        <f>"Cette édition porte sur les données de "&amp;TEXT(DATE3,"mmmmmmmm aaaa")&amp;". A noter que depuis janvier 2024, certains index ont été créés, expliquant ainsi l'impossibilité de calculer leur évolution passée."</f>
        <v>Cette édition porte sur les données de mai 2026. A noter que depuis janvier 2024, certains index ont été créés, expliquant ainsi l'impossibilité de calculer leur évolution passée.</v>
      </c>
      <c r="B8" s="258"/>
      <c r="C8" s="258"/>
      <c r="D8" s="144"/>
    </row>
    <row r="9" spans="1:4">
      <c r="A9" s="259" t="s">
        <v>224</v>
      </c>
      <c r="B9" s="259"/>
      <c r="C9" s="259"/>
      <c r="D9" s="259"/>
    </row>
    <row r="10" spans="1:4">
      <c r="A10" s="259"/>
      <c r="B10" s="259"/>
      <c r="C10" s="259"/>
      <c r="D10" s="259"/>
    </row>
    <row r="11" spans="1:4">
      <c r="A11" s="122" t="s">
        <v>234</v>
      </c>
      <c r="B11" s="119"/>
      <c r="C11" s="119"/>
      <c r="D11" s="119"/>
    </row>
    <row r="12" spans="1:4" ht="15" customHeight="1">
      <c r="A12" s="255" t="str">
        <f>"- l'un portant sur les évolutions à moyen terme en comparaison de "&amp;TEXT(EDATE(DATE3,-12),"aaaa")&amp;" ("&amp;"Cumul janv "&amp;TEXT(DATE3,"aaaa")&amp;"-"&amp;TEXT(DATE3,"mmm aaaa")&amp;" / Cumul janv "&amp;TEXT(EDATE(DATE3,-12),"aaaa")&amp;"-"&amp;TEXT(EDATE(DATE3,-12),"mmm aaaa")&amp;") et de "&amp;TEXT(EDATE(DATE3,-24),"aaaa")&amp;" ("&amp;"Cumul janv "&amp;TEXT(DATE3,"aaaa")&amp;"-"&amp;TEXT(DATE3,"mmm aaaa")&amp;" / Cumul janv "&amp;TEXT(EDATE(DATE3,-24),"aaaa")&amp;"-"&amp;TEXT(EDATE(DATE3,-24),"mmm aaaa")&amp;")"</f>
        <v>- l'un portant sur les évolutions à moyen terme en comparaison de 2025 (Cumul janv 2026-mai 2026 / Cumul janv 2025-mai 2025) et de 2024 (Cumul janv 2026-mai 2026 / Cumul janv 2024-mai 2024)</v>
      </c>
      <c r="B12" s="255"/>
      <c r="C12" s="255"/>
      <c r="D12" s="255"/>
    </row>
    <row r="13" spans="1:4">
      <c r="A13" s="255"/>
      <c r="B13" s="255"/>
      <c r="C13" s="255"/>
      <c r="D13" s="255"/>
    </row>
    <row r="14" spans="1:4" ht="15" customHeight="1">
      <c r="A14" s="255" t="str">
        <f>"- l'autre portant sur les évolutions à plus court terme sur 3 mois glissants (Cumul "&amp;TEXT(EDATE(DATE3,-2),"mmm aaaa")&amp;"-"&amp;TEXT(DATE3,"mmm aaaa")&amp;" / Cumul "&amp;TEXT(EDATE(DATE3,-5),"mmm aaaa")&amp;"-"&amp;TEXT(EDATE(DATE3,-3),"mmm aaaa")&amp;") et 6 mois glissants (Cumul "&amp;TEXT(EDATE(DATE3,-5),"mmm aaaa")&amp;"-"&amp;TEXT(DATE3,"mmm aaaa")&amp;" / Cumul "&amp;TEXT(EDATE(DATE3,-11),"mmm aaaa")&amp;"-"&amp;TEXT(EDATE(DATE3,-6),"mmm aaaa")&amp;")"</f>
        <v>- l'autre portant sur les évolutions à plus court terme sur 3 mois glissants (Cumul mars 2026-mai 2026 / Cumul déc 2025-févr 2026) et 6 mois glissants (Cumul déc 2025-mai 2026 / Cumul juin 2025-nov 2025)</v>
      </c>
      <c r="B14" s="255"/>
      <c r="C14" s="255"/>
      <c r="D14" s="255"/>
    </row>
    <row r="15" spans="1:4">
      <c r="A15" s="255"/>
      <c r="B15" s="255"/>
      <c r="C15" s="255"/>
      <c r="D15" s="255"/>
    </row>
    <row r="16" spans="1:4">
      <c r="A16" s="119"/>
      <c r="B16" s="123"/>
      <c r="C16" s="123"/>
      <c r="D16" s="119"/>
    </row>
    <row r="17" spans="1:4">
      <c r="A17" s="256" t="s">
        <v>255</v>
      </c>
      <c r="B17" s="256"/>
      <c r="C17" s="256"/>
      <c r="D17" s="256"/>
    </row>
    <row r="18" spans="1:4">
      <c r="A18" s="119"/>
      <c r="B18" s="119"/>
      <c r="C18" s="119"/>
      <c r="D18" s="119"/>
    </row>
    <row r="19" spans="1:4" ht="15" customHeight="1">
      <c r="A19" s="253" t="s">
        <v>235</v>
      </c>
      <c r="B19" s="253"/>
      <c r="C19" s="119"/>
      <c r="D19" s="119"/>
    </row>
    <row r="20" spans="1:4">
      <c r="A20" s="253"/>
      <c r="B20" s="253"/>
      <c r="C20" s="119"/>
      <c r="D20" s="119"/>
    </row>
    <row r="21" spans="1:4" ht="15" customHeight="1">
      <c r="A21" s="257" t="str">
        <f>"- par rapport à "&amp;'A MODIFIER'!A5&amp;") + indication de l’évolution par rapport à "&amp;'A MODIFIER'!A6&amp;")
- en 3 mois glissants (Cumul "&amp;TEXT(EDATE(DATE3,-2),"mmm aaaa")&amp;"-"&amp;TEXT(DATE3,"mmm aaaa")&amp;" / Cumul "&amp;TEXT(EDATE(DATE3,-5),"mmm aaaa")&amp;"-"&amp;TEXT(EDATE(DATE3,-3),"mmm aaaa")&amp;" + indication de l'évolution en 6 mois glissants (Cumul "&amp;TEXT(EDATE(DATE3,-5),"mmm aaaa")&amp;"-"&amp;TEXT(DATE3,"mmm aaaa")&amp;" / Cumul "&amp;TEXT(EDATE(DATE3,-11),"mmm aaaa")&amp;"-"&amp;TEXT(EDATE(DATE3,-6),"mmm aaaa")&amp;")"</f>
        <v>- par rapport à */2025 = Cumul janv 2026-mai 2026 / Cumul janv 2025-mai 2025) + indication de l’évolution par rapport à */2024 = Cumul janv 2026-mai 2026 / Cumul janv 2024-mai 2024)
- en 3 mois glissants (Cumul mars 2026-mai 2026 / Cumul déc 2025-févr 2026 + indication de l'évolution en 6 mois glissants (Cumul déc 2025-mai 2026 / Cumul juin 2025-nov 2025)</v>
      </c>
      <c r="B21" s="257"/>
      <c r="C21" s="119"/>
      <c r="D21" s="119"/>
    </row>
    <row r="22" spans="1:4">
      <c r="A22" s="257"/>
      <c r="B22" s="257"/>
      <c r="C22" s="119"/>
      <c r="D22" s="119"/>
    </row>
    <row r="23" spans="1:4">
      <c r="A23" s="257"/>
      <c r="B23" s="257"/>
      <c r="C23" s="119"/>
      <c r="D23" s="119"/>
    </row>
    <row r="24" spans="1:4">
      <c r="A24" s="257"/>
      <c r="B24" s="257"/>
      <c r="C24" s="131"/>
      <c r="D24" s="119"/>
    </row>
    <row r="25" spans="1:4">
      <c r="A25" s="257"/>
      <c r="B25" s="257"/>
      <c r="C25" s="131"/>
      <c r="D25" s="119"/>
    </row>
    <row r="26" spans="1:4">
      <c r="A26" s="257"/>
      <c r="B26" s="257"/>
      <c r="C26" s="131"/>
      <c r="D26" s="119"/>
    </row>
    <row r="27" spans="1:4">
      <c r="A27" s="257"/>
      <c r="B27" s="257"/>
      <c r="C27" s="131"/>
      <c r="D27" s="119"/>
    </row>
    <row r="28" spans="1:4">
      <c r="A28" s="131"/>
      <c r="B28" s="119"/>
      <c r="C28" s="131"/>
      <c r="D28" s="119"/>
    </row>
    <row r="29" spans="1:4">
      <c r="A29" s="256" t="s">
        <v>236</v>
      </c>
      <c r="B29" s="256"/>
      <c r="C29" s="256"/>
      <c r="D29" s="256"/>
    </row>
    <row r="30" spans="1:4">
      <c r="A30" s="124"/>
      <c r="B30" s="119"/>
      <c r="C30" s="119"/>
      <c r="D30" s="119"/>
    </row>
    <row r="31" spans="1:4" ht="15" customHeight="1">
      <c r="A31" s="252" t="s">
        <v>227</v>
      </c>
      <c r="B31" s="252"/>
      <c r="C31" s="119"/>
      <c r="D31" s="119"/>
    </row>
    <row r="32" spans="1:4">
      <c r="A32" s="252"/>
      <c r="B32" s="252"/>
      <c r="C32" s="119"/>
      <c r="D32" s="119"/>
    </row>
    <row r="33" spans="1:4">
      <c r="A33" s="119"/>
      <c r="B33" s="119"/>
      <c r="C33" s="119"/>
      <c r="D33" s="119"/>
    </row>
    <row r="34" spans="1:4">
      <c r="A34" s="119"/>
      <c r="B34" s="119"/>
      <c r="C34" s="119"/>
      <c r="D34" s="119"/>
    </row>
    <row r="35" spans="1:4" ht="15" customHeight="1">
      <c r="A35" s="253" t="s">
        <v>237</v>
      </c>
      <c r="B35" s="253"/>
      <c r="C35" s="119"/>
      <c r="D35" s="119"/>
    </row>
    <row r="36" spans="1:4">
      <c r="A36" s="253"/>
      <c r="B36" s="253"/>
      <c r="C36" s="119"/>
      <c r="D36" s="119"/>
    </row>
    <row r="37" spans="1:4">
      <c r="A37" s="253"/>
      <c r="B37" s="253"/>
      <c r="C37" s="119"/>
      <c r="D37" s="119"/>
    </row>
    <row r="38" spans="1:4">
      <c r="A38" s="253"/>
      <c r="B38" s="253"/>
      <c r="C38" s="119"/>
      <c r="D38" s="119"/>
    </row>
    <row r="39" spans="1:4" ht="15" customHeight="1">
      <c r="A39" s="253" t="s">
        <v>238</v>
      </c>
      <c r="B39" s="253"/>
      <c r="C39" s="119"/>
      <c r="D39" s="119"/>
    </row>
    <row r="40" spans="1:4">
      <c r="A40" s="253"/>
      <c r="B40" s="253"/>
      <c r="C40" s="119"/>
      <c r="D40" s="119"/>
    </row>
    <row r="41" spans="1:4">
      <c r="A41" s="253"/>
      <c r="B41" s="253"/>
      <c r="C41" s="119"/>
      <c r="D41" s="119"/>
    </row>
    <row r="42" spans="1:4">
      <c r="A42" s="253"/>
      <c r="B42" s="253"/>
      <c r="C42" s="119"/>
      <c r="D42" s="119"/>
    </row>
    <row r="43" spans="1:4">
      <c r="A43" s="253"/>
      <c r="B43" s="253"/>
      <c r="C43" s="119"/>
      <c r="D43" s="119"/>
    </row>
    <row r="44" spans="1:4" ht="15" customHeight="1">
      <c r="A44" s="253" t="s">
        <v>239</v>
      </c>
      <c r="B44" s="253"/>
      <c r="C44" s="119"/>
      <c r="D44" s="119"/>
    </row>
    <row r="45" spans="1:4">
      <c r="A45" s="253"/>
      <c r="B45" s="253"/>
      <c r="C45" s="119"/>
      <c r="D45" s="119"/>
    </row>
    <row r="46" spans="1:4">
      <c r="A46" s="253"/>
      <c r="B46" s="253"/>
      <c r="C46" s="119"/>
      <c r="D46" s="119"/>
    </row>
    <row r="47" spans="1:4">
      <c r="A47" s="119"/>
      <c r="B47" s="119"/>
      <c r="C47" s="119"/>
      <c r="D47" s="119"/>
    </row>
    <row r="48" spans="1:4">
      <c r="A48" s="256" t="s">
        <v>240</v>
      </c>
      <c r="B48" s="256"/>
      <c r="C48" s="256"/>
      <c r="D48" s="256"/>
    </row>
    <row r="49" spans="1:4">
      <c r="A49" s="119"/>
      <c r="B49" s="119"/>
      <c r="C49" s="119"/>
      <c r="D49" s="119"/>
    </row>
    <row r="50" spans="1:4" ht="15" customHeight="1">
      <c r="A50" s="253" t="s">
        <v>241</v>
      </c>
      <c r="B50" s="253"/>
      <c r="C50" s="119"/>
      <c r="D50" s="119"/>
    </row>
    <row r="51" spans="1:4">
      <c r="A51" s="253"/>
      <c r="B51" s="253"/>
      <c r="C51" s="119"/>
      <c r="D51" s="119"/>
    </row>
    <row r="52" spans="1:4">
      <c r="A52" s="253"/>
      <c r="B52" s="253"/>
      <c r="C52" s="119"/>
      <c r="D52" s="119"/>
    </row>
    <row r="53" spans="1:4" ht="15" customHeight="1">
      <c r="A53" s="261" t="str">
        <f>"- par rapport à "&amp;'A MODIFIER'!A5&amp;") + indication de l’évolution par rapport à "&amp;'A MODIFIER'!A6&amp;")
- en 3 mois glissants (Cumul "&amp;TEXT(EDATE(DATE3,-2),"mmm aaaa")&amp;"-"&amp;TEXT(DATE3,"mmm aaaa")&amp;" / Cumul "&amp;TEXT(EDATE(DATE3,-5),"mmm aaaa")&amp;"-"&amp;TEXT(EDATE(DATE3,-3),"mmm aaaa")&amp;" + indication de l'évolution en 6 mois glissants (Cumul "&amp;TEXT(EDATE(DATE3,-5),"mmm aaaa")&amp;"-"&amp;TEXT(DATE3,"mmm aaaa")&amp;" / Cumul "&amp;TEXT(EDATE(DATE3,-11),"mmm aaaa")&amp;"-"&amp;TEXT(EDATE(DATE3,-6),"mmm aaaa")&amp;")"</f>
        <v>- par rapport à */2025 = Cumul janv 2026-mai 2026 / Cumul janv 2025-mai 2025) + indication de l’évolution par rapport à */2024 = Cumul janv 2026-mai 2026 / Cumul janv 2024-mai 2024)
- en 3 mois glissants (Cumul mars 2026-mai 2026 / Cumul déc 2025-févr 2026 + indication de l'évolution en 6 mois glissants (Cumul déc 2025-mai 2026 / Cumul juin 2025-nov 2025)</v>
      </c>
      <c r="B53" s="261"/>
      <c r="C53" s="119"/>
      <c r="D53" s="119"/>
    </row>
    <row r="54" spans="1:4">
      <c r="A54" s="261"/>
      <c r="B54" s="261"/>
      <c r="C54" s="119"/>
      <c r="D54" s="119"/>
    </row>
    <row r="55" spans="1:4">
      <c r="A55" s="261"/>
      <c r="B55" s="261"/>
      <c r="C55" s="119"/>
      <c r="D55" s="119"/>
    </row>
    <row r="56" spans="1:4">
      <c r="A56" s="261"/>
      <c r="B56" s="261"/>
      <c r="C56" s="119"/>
      <c r="D56" s="119"/>
    </row>
    <row r="57" spans="1:4">
      <c r="A57" s="261"/>
      <c r="B57" s="261"/>
      <c r="C57" s="119"/>
      <c r="D57" s="119"/>
    </row>
    <row r="58" spans="1:4">
      <c r="A58" s="261"/>
      <c r="B58" s="261"/>
      <c r="C58" s="119"/>
      <c r="D58" s="119"/>
    </row>
    <row r="59" spans="1:4">
      <c r="A59" s="119"/>
      <c r="B59" s="119"/>
      <c r="C59" s="119"/>
      <c r="D59" s="119"/>
    </row>
    <row r="60" spans="1:4" ht="15" customHeight="1">
      <c r="A60" s="252"/>
      <c r="B60" s="252"/>
      <c r="C60" s="119"/>
      <c r="D60" s="119"/>
    </row>
    <row r="61" spans="1:4">
      <c r="A61" s="252"/>
      <c r="B61" s="252"/>
      <c r="C61" s="119"/>
      <c r="D61" s="119"/>
    </row>
    <row r="62" spans="1:4">
      <c r="A62" s="131"/>
      <c r="B62" s="119"/>
      <c r="C62" s="119"/>
      <c r="D62" s="119"/>
    </row>
    <row r="63" spans="1:4">
      <c r="A63" s="119"/>
      <c r="B63" s="119"/>
      <c r="C63" s="119"/>
      <c r="D63" s="119"/>
    </row>
  </sheetData>
  <mergeCells count="18">
    <mergeCell ref="A1:D1"/>
    <mergeCell ref="A44:B46"/>
    <mergeCell ref="A48:D48"/>
    <mergeCell ref="A50:B52"/>
    <mergeCell ref="A53:B58"/>
    <mergeCell ref="A60:B61"/>
    <mergeCell ref="A39:B43"/>
    <mergeCell ref="A5:D7"/>
    <mergeCell ref="A12:D13"/>
    <mergeCell ref="A14:D15"/>
    <mergeCell ref="A17:D17"/>
    <mergeCell ref="A19:B20"/>
    <mergeCell ref="A21:B27"/>
    <mergeCell ref="A29:D29"/>
    <mergeCell ref="A31:B32"/>
    <mergeCell ref="A35:B38"/>
    <mergeCell ref="A8:C8"/>
    <mergeCell ref="A9:D10"/>
  </mergeCells>
  <pageMargins left="0.7" right="0.7" top="0.75" bottom="0.75" header="0.3" footer="0.3"/>
  <pageSetup paperSize="9" scale="83" orientation="portrait" r:id="rId1"/>
  <colBreaks count="1" manualBreakCount="1">
    <brk id="2"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D5486-C5EE-46EE-8513-48A46E3EB085}">
  <sheetPr codeName="Feuil2">
    <tabColor rgb="FFFF0000"/>
    <pageSetUpPr fitToPage="1"/>
  </sheetPr>
  <dimension ref="A1:D31"/>
  <sheetViews>
    <sheetView showGridLines="0" zoomScale="90" zoomScaleNormal="90" workbookViewId="0">
      <selection activeCell="G32" sqref="G32"/>
    </sheetView>
  </sheetViews>
  <sheetFormatPr baseColWidth="10" defaultRowHeight="15"/>
  <cols>
    <col min="1" max="1" width="11.5703125" customWidth="1"/>
    <col min="2" max="2" width="97.28515625" customWidth="1"/>
    <col min="3" max="4" width="7" bestFit="1" customWidth="1"/>
  </cols>
  <sheetData>
    <row r="1" spans="1:4">
      <c r="A1" s="15" t="str">
        <f>"CLASSEMENT DES INDEX SELON LEUR ÉVOLUTION A "&amp;'A MODIFIER'!B4&amp;" EN CUMUL DEPUIS JANVIER"</f>
        <v>CLASSEMENT DES INDEX SELON LEUR ÉVOLUTION A MAI 2026 EN CUMUL DEPUIS JANVIER</v>
      </c>
      <c r="B1" s="16"/>
      <c r="C1" s="17"/>
      <c r="D1" s="17"/>
    </row>
    <row r="2" spans="1:4">
      <c r="A2" s="18"/>
      <c r="B2" s="18"/>
      <c r="C2" s="18"/>
      <c r="D2" s="18"/>
    </row>
    <row r="3" spans="1:4">
      <c r="A3" s="19" t="str" cm="1">
        <f t="array" ref="A3:A4">'A MODIFIER'!A5:A6</f>
        <v>*/2025 = Cumul janv 2026-mai 2026 / Cumul janv 2025-mai 2025</v>
      </c>
      <c r="B3" s="18"/>
      <c r="C3" s="18"/>
      <c r="D3" s="18"/>
    </row>
    <row r="4" spans="1:4">
      <c r="A4" s="19" t="str">
        <v>*/2024 = Cumul janv 2026-mai 2026 / Cumul janv 2024-mai 2024</v>
      </c>
      <c r="B4" s="18"/>
      <c r="C4" s="18"/>
      <c r="D4" s="18"/>
    </row>
    <row r="7" spans="1:4">
      <c r="A7" s="6"/>
      <c r="B7" s="7"/>
      <c r="C7" s="24" t="str">
        <f>'A MODIFIER'!A10</f>
        <v>*/2025</v>
      </c>
      <c r="D7" s="24" t="str">
        <f>'A MODIFIER'!A9</f>
        <v>*/2024</v>
      </c>
    </row>
    <row r="8" spans="1:4">
      <c r="A8" s="25" t="str" cm="1">
        <f t="array" ref="A8:D31">'DEPUIS JANVIER'!J7:M30</f>
        <v>TP06a</v>
      </c>
      <c r="B8" s="25" t="str">
        <v>Grands dragages maritimes </v>
      </c>
      <c r="C8" s="146">
        <v>9.5028596568411894E-2</v>
      </c>
      <c r="D8" s="147">
        <v>7.3307460112117306E-2</v>
      </c>
    </row>
    <row r="9" spans="1:4">
      <c r="A9" s="25" t="str">
        <v>TP06b</v>
      </c>
      <c r="B9" s="25" t="str">
        <v>Dragages fluviaux et petits dragages maritimes</v>
      </c>
      <c r="C9" s="146">
        <v>7.1384897584836793E-2</v>
      </c>
      <c r="D9" s="147">
        <v>8.8861270778312962E-2</v>
      </c>
    </row>
    <row r="10" spans="1:4">
      <c r="A10" s="25" t="str">
        <v>TP12a</v>
      </c>
      <c r="B10" s="25" t="str">
        <v>Réseaux d'énergie et de communication</v>
      </c>
      <c r="C10" s="146">
        <v>5.4767652383826082E-2</v>
      </c>
      <c r="D10" s="147">
        <v>7.3062164236377347E-2</v>
      </c>
    </row>
    <row r="11" spans="1:4">
      <c r="A11" s="25" t="str">
        <v>TP03a</v>
      </c>
      <c r="B11" s="25" t="str">
        <v>Grands terrassements</v>
      </c>
      <c r="C11" s="146">
        <v>5.2639494660851271E-2</v>
      </c>
      <c r="D11" s="147">
        <v>6.5783462768387313E-2</v>
      </c>
    </row>
    <row r="12" spans="1:4">
      <c r="A12" s="25" t="str">
        <v>TP07b</v>
      </c>
      <c r="B12" s="25" t="str">
        <v>Travaux de génie civil, béton et acier pour ouvrages maritimes et fluviaux</v>
      </c>
      <c r="C12" s="146">
        <v>5.0037341299477234E-2</v>
      </c>
      <c r="D12" s="147">
        <v>4.5197740112994378E-2</v>
      </c>
    </row>
    <row r="13" spans="1:4">
      <c r="A13" s="25" t="str">
        <v>TP10c</v>
      </c>
      <c r="B13" s="25" t="str">
        <v>Réhabilitation de canalisations non visitables</v>
      </c>
      <c r="C13" s="146">
        <v>4.5954198473282748E-2</v>
      </c>
      <c r="D13" s="147">
        <v>5.0283611835045594E-2</v>
      </c>
    </row>
    <row r="14" spans="1:4">
      <c r="A14" s="25" t="str">
        <v>TP12d</v>
      </c>
      <c r="B14" s="25" t="str">
        <v>Réseaux de communication en fibre optique</v>
      </c>
      <c r="C14" s="146">
        <v>3.6959665756066018E-2</v>
      </c>
      <c r="D14" s="147">
        <v>3.0172413793103425E-2</v>
      </c>
    </row>
    <row r="15" spans="1:4">
      <c r="A15" s="25" t="str">
        <v>TP10f</v>
      </c>
      <c r="B15" s="25" t="str">
        <v>Canalisations, assainnissement et adduction d'eau avec fourniture de tuyaux avec fourniture de tuyaux multi-matériaux</v>
      </c>
      <c r="C15" s="146">
        <v>3.6455929856944902E-2</v>
      </c>
      <c r="D15" s="147">
        <v>3.5500230520977283E-2</v>
      </c>
    </row>
    <row r="16" spans="1:4">
      <c r="A16" s="25" t="str">
        <v>TP01</v>
      </c>
      <c r="B16" s="25" t="str">
        <v>Index général tous travaux</v>
      </c>
      <c r="C16" s="146">
        <v>3.5567715458276306E-2</v>
      </c>
      <c r="D16" s="147">
        <v>4.8153846153845992E-2</v>
      </c>
    </row>
    <row r="17" spans="1:4">
      <c r="A17" s="25" t="str">
        <v>TP04</v>
      </c>
      <c r="B17" s="25" t="str">
        <v xml:space="preserve">Fondations et travaux géotechniques </v>
      </c>
      <c r="C17" s="146">
        <v>3.4748451427707883E-2</v>
      </c>
      <c r="D17" s="147">
        <v>4.0565177757520443E-2</v>
      </c>
    </row>
    <row r="18" spans="1:4">
      <c r="A18" s="25" t="str">
        <v>TP10d</v>
      </c>
      <c r="B18" s="25" t="str">
        <v>Réseaux de chauffage et de froid avec fourniture de tuyaux</v>
      </c>
      <c r="C18" s="146">
        <v>3.4190765297970938E-2</v>
      </c>
      <c r="D18" s="147">
        <v>3.5017588743204264E-2</v>
      </c>
    </row>
    <row r="19" spans="1:4">
      <c r="A19" s="25" t="str">
        <v>TP10b</v>
      </c>
      <c r="B19" s="25" t="str">
        <v>Canalisations sans fourniture de tuyaux</v>
      </c>
      <c r="C19" s="146">
        <v>3.4070260448213485E-2</v>
      </c>
      <c r="D19" s="147">
        <v>4.9162697803042388E-2</v>
      </c>
    </row>
    <row r="20" spans="1:4">
      <c r="A20" s="25" t="str">
        <v>TP03b</v>
      </c>
      <c r="B20" s="25" t="str">
        <v>Travaux à l’explosif</v>
      </c>
      <c r="C20" s="146">
        <v>3.2745591939546514E-2</v>
      </c>
      <c r="D20" s="147">
        <v>6.2359647607531654E-2</v>
      </c>
    </row>
    <row r="21" spans="1:4">
      <c r="A21" s="25" t="str">
        <v>TP12c</v>
      </c>
      <c r="B21" s="25" t="str">
        <v>Éclairage public - Travaux  de maintenance</v>
      </c>
      <c r="C21" s="146">
        <v>3.1891723708774133E-2</v>
      </c>
      <c r="D21" s="147">
        <v>5.3358742258218239E-2</v>
      </c>
    </row>
    <row r="22" spans="1:4">
      <c r="A22" s="25" t="str">
        <v>TP02</v>
      </c>
      <c r="B22" s="25" t="str">
        <v>Travaux de génie civil et d’ouvrages d’art neufs ou rénovation</v>
      </c>
      <c r="C22" s="146">
        <v>2.9146323420624176E-2</v>
      </c>
      <c r="D22" s="147">
        <v>4.2409710774763631E-2</v>
      </c>
    </row>
    <row r="23" spans="1:4">
      <c r="A23" s="25" t="str">
        <v>TP12b</v>
      </c>
      <c r="B23" s="25" t="str">
        <v>Éclairage public -Travaux d'installation</v>
      </c>
      <c r="C23" s="146">
        <v>2.8817541111981093E-2</v>
      </c>
      <c r="D23" s="147">
        <v>3.0108201348596486E-2</v>
      </c>
    </row>
    <row r="24" spans="1:4">
      <c r="A24" s="25" t="str">
        <v>TP10e</v>
      </c>
      <c r="B24" s="25" t="str">
        <v>Canalisations, assainnissement et adduction d'eau avec fourniture de tuyaux en fonte majoritaire</v>
      </c>
      <c r="C24" s="146">
        <v>2.8527131782945858E-2</v>
      </c>
      <c r="D24" s="147">
        <v>3.7210756722952043E-2</v>
      </c>
    </row>
    <row r="25" spans="1:4">
      <c r="A25" s="25" t="str">
        <v>TP08</v>
      </c>
      <c r="B25" s="25" t="str">
        <v>Travaux d’aménagement et entretien de voirie en zones rurale et urbaine</v>
      </c>
      <c r="C25" s="146">
        <v>2.7349121466768489E-2</v>
      </c>
      <c r="D25" s="147">
        <v>4.1189222669556935E-2</v>
      </c>
    </row>
    <row r="26" spans="1:4">
      <c r="A26" s="25" t="str">
        <v>TP05a</v>
      </c>
      <c r="B26" s="25" t="str">
        <v xml:space="preserve">Travaux en souterrains traditionnels </v>
      </c>
      <c r="C26" s="146">
        <v>2.7203805559684824E-2</v>
      </c>
      <c r="D26" s="147">
        <v>3.9879608728367266E-2</v>
      </c>
    </row>
    <row r="27" spans="1:4">
      <c r="A27" s="25" t="str">
        <v>TP13b</v>
      </c>
      <c r="B27" s="25" t="str">
        <v>Charpentes et ouvrages d'art métalliques sans fourniture des aciers</v>
      </c>
      <c r="C27" s="146">
        <v>2.5723472668810254E-2</v>
      </c>
      <c r="D27" s="147">
        <v>3.8319277999704138E-2</v>
      </c>
    </row>
    <row r="28" spans="1:4">
      <c r="A28" s="25" t="str">
        <v>TP05b</v>
      </c>
      <c r="B28" s="25" t="str">
        <v xml:space="preserve">Travaux en souterrains avec tunnelier </v>
      </c>
      <c r="C28" s="146">
        <v>2.3276370064820195E-2</v>
      </c>
      <c r="D28" s="147">
        <v>3.0105294379356495E-2</v>
      </c>
    </row>
    <row r="29" spans="1:4">
      <c r="A29" s="25" t="str">
        <v>TP11</v>
      </c>
      <c r="B29" s="25" t="str">
        <v>Canalisations grandes distances de transport / transfert  avec fourniture de tuyaux</v>
      </c>
      <c r="C29" s="146">
        <v>2.2897267592733916E-2</v>
      </c>
      <c r="D29" s="147">
        <v>2.8233849930949795E-2</v>
      </c>
    </row>
    <row r="30" spans="1:4">
      <c r="A30" s="26" t="str">
        <v>TP09</v>
      </c>
      <c r="B30" s="26" t="str">
        <v>Fabrication et mise en œuvre d’enrobés </v>
      </c>
      <c r="C30" s="220">
        <v>1.3751545117428821E-2</v>
      </c>
      <c r="D30" s="220">
        <v>4.142857142857137E-2</v>
      </c>
    </row>
    <row r="31" spans="1:4">
      <c r="A31" s="8" t="str">
        <v>TP13a</v>
      </c>
      <c r="B31" s="8" t="str">
        <v>Charpentes et ouvrages d'art métalliques</v>
      </c>
      <c r="C31" s="220">
        <v>7.6162479957242457E-3</v>
      </c>
      <c r="D31" s="220">
        <v>7.9628400796272203E-4</v>
      </c>
    </row>
  </sheetData>
  <sheetProtection algorithmName="SHA-512" hashValue="gX7lh5jFZfKCigyShbX3D67YLvSD/WYTdZbr/aLrcQAIZavIlhQMpgONinHTIc5Fqka8RWbfYqRkIO/xzXebQQ==" saltValue="RKf+XLzyPOA3mbQu0+1AuQ==" spinCount="100000" sheet="1" objects="1" scenarios="1"/>
  <conditionalFormatting sqref="C8:C30">
    <cfRule type="colorScale" priority="9">
      <colorScale>
        <cfvo type="min"/>
        <cfvo type="percentile" val="50"/>
        <cfvo type="max"/>
        <color theme="4" tint="0.39997558519241921"/>
        <color theme="0"/>
        <color theme="5"/>
      </colorScale>
    </cfRule>
  </conditionalFormatting>
  <conditionalFormatting sqref="C8:D31">
    <cfRule type="colorScale" priority="1">
      <colorScale>
        <cfvo type="min"/>
        <cfvo type="percentile" val="50"/>
        <cfvo type="max"/>
        <color theme="5" tint="0.39997558519241921"/>
        <color theme="0"/>
        <color theme="9"/>
      </colorScale>
    </cfRule>
    <cfRule type="colorScale" priority="2">
      <colorScale>
        <cfvo type="min"/>
        <cfvo type="percentile" val="50"/>
        <cfvo type="max"/>
        <color theme="9"/>
        <color theme="0"/>
        <color theme="5" tint="0.39997558519241921"/>
      </colorScale>
    </cfRule>
    <cfRule type="colorScale" priority="3">
      <colorScale>
        <cfvo type="min"/>
        <cfvo type="percentile" val="50"/>
        <cfvo type="max"/>
        <color theme="5" tint="0.59999389629810485"/>
        <color theme="0"/>
        <color theme="9"/>
      </colorScale>
    </cfRule>
    <cfRule type="colorScale" priority="7">
      <colorScale>
        <cfvo type="min"/>
        <cfvo type="percentile" val="50"/>
        <cfvo type="max"/>
        <color theme="5" tint="0.39997558519241921"/>
        <color theme="0"/>
        <color theme="9"/>
      </colorScale>
    </cfRule>
    <cfRule type="colorScale" priority="8">
      <colorScale>
        <cfvo type="min"/>
        <cfvo type="max"/>
        <color theme="5" tint="0.39997558519241921"/>
        <color theme="9"/>
      </colorScale>
    </cfRule>
  </conditionalFormatting>
  <conditionalFormatting sqref="D9:D31">
    <cfRule type="colorScale" priority="12">
      <colorScale>
        <cfvo type="min"/>
        <cfvo type="percentile" val="75"/>
        <cfvo type="max"/>
        <color theme="4" tint="0.39997558519241921"/>
        <color theme="0"/>
        <color theme="5"/>
      </colorScale>
    </cfRule>
    <cfRule type="colorScale" priority="16">
      <colorScale>
        <cfvo type="min"/>
        <cfvo type="max"/>
        <color theme="4" tint="0.39997558519241921"/>
        <color theme="5"/>
      </colorScale>
    </cfRule>
    <cfRule type="colorScale" priority="17">
      <colorScale>
        <cfvo type="min"/>
        <cfvo type="percentile" val="50"/>
        <cfvo type="max"/>
        <color theme="4" tint="0.39997558519241921"/>
        <color theme="0"/>
        <color theme="5"/>
      </colorScale>
    </cfRule>
    <cfRule type="colorScale" priority="18">
      <colorScale>
        <cfvo type="min"/>
        <cfvo type="percentile" val="90"/>
        <cfvo type="max"/>
        <color theme="4" tint="0.39997558519241921"/>
        <color theme="0"/>
        <color theme="5"/>
      </colorScale>
    </cfRule>
    <cfRule type="colorScale" priority="19">
      <colorScale>
        <cfvo type="min"/>
        <cfvo type="percentile" val="35"/>
        <cfvo type="max"/>
        <color theme="4" tint="0.39997558519241921"/>
        <color theme="0"/>
        <color theme="5"/>
      </colorScale>
    </cfRule>
    <cfRule type="colorScale" priority="20">
      <colorScale>
        <cfvo type="min"/>
        <cfvo type="percentile" val="25"/>
        <cfvo type="max"/>
        <color theme="4" tint="0.39997558519241921"/>
        <color theme="0"/>
        <color theme="5"/>
      </colorScale>
    </cfRule>
    <cfRule type="colorScale" priority="21">
      <colorScale>
        <cfvo type="min"/>
        <cfvo type="percentile" val="19"/>
        <cfvo type="max"/>
        <color theme="4" tint="0.39997558519241921"/>
        <color theme="0"/>
        <color theme="5"/>
      </colorScale>
    </cfRule>
    <cfRule type="colorScale" priority="22">
      <colorScale>
        <cfvo type="min"/>
        <cfvo type="percent" val="5"/>
        <cfvo type="max"/>
        <color theme="4" tint="0.39997558519241921"/>
        <color theme="0"/>
        <color theme="5"/>
      </colorScale>
    </cfRule>
  </conditionalFormatting>
  <conditionalFormatting sqref="D18:D31">
    <cfRule type="colorScale" priority="10">
      <colorScale>
        <cfvo type="min"/>
        <cfvo type="max"/>
        <color theme="4" tint="0.39997558519241921"/>
        <color theme="0"/>
      </colorScale>
    </cfRule>
  </conditionalFormatting>
  <conditionalFormatting sqref="D25:D31">
    <cfRule type="colorScale" priority="11">
      <colorScale>
        <cfvo type="min"/>
        <cfvo type="max"/>
        <color theme="4" tint="0.39997558519241921"/>
        <color theme="8" tint="0.79998168889431442"/>
      </colorScale>
    </cfRule>
  </conditionalFormatting>
  <pageMargins left="0.7" right="0.7" top="0.75" bottom="0.75" header="0.3" footer="0.3"/>
  <pageSetup paperSize="9" scale="94" fitToHeight="0"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A8522-F3AB-4FB7-BFFE-03B2A49DEFF5}">
  <sheetPr codeName="Feuil9">
    <tabColor rgb="FFFF0000"/>
    <pageSetUpPr fitToPage="1"/>
  </sheetPr>
  <dimension ref="A1:G31"/>
  <sheetViews>
    <sheetView showGridLines="0" workbookViewId="0">
      <selection activeCell="H16" sqref="H16"/>
    </sheetView>
  </sheetViews>
  <sheetFormatPr baseColWidth="10" defaultRowHeight="15"/>
  <cols>
    <col min="1" max="1" width="7" bestFit="1" customWidth="1"/>
    <col min="2" max="2" width="105.42578125" customWidth="1"/>
    <col min="3" max="3" width="7" style="150" bestFit="1" customWidth="1"/>
    <col min="4" max="4" width="7.140625" style="150" bestFit="1" customWidth="1"/>
  </cols>
  <sheetData>
    <row r="1" spans="1:4">
      <c r="A1" s="10" t="s">
        <v>158</v>
      </c>
      <c r="B1" s="13"/>
      <c r="C1" s="154"/>
      <c r="D1" s="154"/>
    </row>
    <row r="2" spans="1:4">
      <c r="A2" s="11"/>
      <c r="B2" s="11"/>
      <c r="C2" s="155"/>
      <c r="D2" s="155"/>
    </row>
    <row r="3" spans="1:4">
      <c r="A3" s="12" t="str" cm="1">
        <f t="array" ref="A3:A4">'A MODIFIER'!A7:A8</f>
        <v>*3 mois = Cumul mars 2026-mai 2026 / Cumul déc 2025-févr 2026</v>
      </c>
      <c r="B3" s="27"/>
      <c r="C3" s="155"/>
      <c r="D3" s="155"/>
    </row>
    <row r="4" spans="1:4">
      <c r="A4" s="12" t="str">
        <v>*6 mois = Cumul déc 2025-mai 2026 / Cumul juin 2025-nov 2025</v>
      </c>
      <c r="B4" s="27"/>
      <c r="C4" s="155"/>
      <c r="D4" s="155"/>
    </row>
    <row r="7" spans="1:4">
      <c r="A7" s="26"/>
      <c r="B7" s="23"/>
      <c r="C7" s="151" t="str">
        <f>'A MODIFIER'!A11</f>
        <v>*3 mois</v>
      </c>
      <c r="D7" s="151" t="str">
        <f>'A MODIFIER'!A12</f>
        <v>*6 mois</v>
      </c>
    </row>
    <row r="8" spans="1:4">
      <c r="A8" s="9" t="str" cm="1">
        <f t="array" ref="A8:D31">'3-6 MOIS GLISSANTS'!J9:M32</f>
        <v>TP09</v>
      </c>
      <c r="B8" s="8" t="str">
        <v>Fabrication et mise en œuvre d’enrobés </v>
      </c>
      <c r="C8" s="151">
        <v>0.14708321813657732</v>
      </c>
      <c r="D8" s="151">
        <v>4.7760388559093148E-2</v>
      </c>
    </row>
    <row r="9" spans="1:4">
      <c r="A9" s="8" t="str">
        <v>TP06a</v>
      </c>
      <c r="B9" s="8" t="str">
        <v>Grands dragages maritimes </v>
      </c>
      <c r="C9" s="151">
        <v>0.13373639661426839</v>
      </c>
      <c r="D9" s="151">
        <v>7.2444390421781746E-2</v>
      </c>
    </row>
    <row r="10" spans="1:4">
      <c r="A10" s="8" t="str">
        <v>TP10c</v>
      </c>
      <c r="B10" s="8" t="str">
        <v>Réhabilitation de canalisations non visitables</v>
      </c>
      <c r="C10" s="151">
        <v>0.10069713400464764</v>
      </c>
      <c r="D10" s="151">
        <v>4.214166773408512E-2</v>
      </c>
    </row>
    <row r="11" spans="1:4">
      <c r="A11" s="8" t="str">
        <v>TP06b</v>
      </c>
      <c r="B11" s="8" t="str">
        <v>Dragages fluviaux et petits dragages maritimes</v>
      </c>
      <c r="C11" s="151">
        <v>8.757841907151831E-2</v>
      </c>
      <c r="D11" s="151">
        <v>5.3171287504747422E-2</v>
      </c>
    </row>
    <row r="12" spans="1:4">
      <c r="A12" s="8" t="str">
        <v>TP08</v>
      </c>
      <c r="B12" s="8" t="str">
        <v>Travaux d’aménagement et entretien de voirie en zones rurale et urbaine</v>
      </c>
      <c r="C12" s="151">
        <v>8.0083203328133123E-2</v>
      </c>
      <c r="D12" s="151">
        <v>3.667228197486061E-2</v>
      </c>
    </row>
    <row r="13" spans="1:4">
      <c r="A13" s="8" t="str">
        <v>TP03a</v>
      </c>
      <c r="B13" s="8" t="str">
        <v>Grands terrassements</v>
      </c>
      <c r="C13" s="151">
        <v>6.2391681109185582E-2</v>
      </c>
      <c r="D13" s="151">
        <v>4.0989752561859438E-2</v>
      </c>
    </row>
    <row r="14" spans="1:4">
      <c r="A14" s="8" t="str">
        <v>TP01</v>
      </c>
      <c r="B14" s="8" t="str">
        <v>Index général tous travaux</v>
      </c>
      <c r="C14" s="151">
        <v>6.0421426758060504E-2</v>
      </c>
      <c r="D14" s="151">
        <v>3.4017072238502033E-2</v>
      </c>
    </row>
    <row r="15" spans="1:4">
      <c r="A15" s="8" t="str">
        <v>TP03b</v>
      </c>
      <c r="B15" s="8" t="str">
        <v>Travaux à l’explosif</v>
      </c>
      <c r="C15" s="151">
        <v>4.921700223713632E-2</v>
      </c>
      <c r="D15" s="151">
        <v>3.8107380648817246E-2</v>
      </c>
    </row>
    <row r="16" spans="1:4">
      <c r="A16" s="132" t="str">
        <v>TP07b</v>
      </c>
      <c r="B16" s="132" t="str">
        <v>Travaux de génie civil, béton et acier pour ouvrages maritimes et fluviaux</v>
      </c>
      <c r="C16" s="151">
        <v>4.8166259168704206E-2</v>
      </c>
      <c r="D16" s="151">
        <v>3.56039065397451E-2</v>
      </c>
    </row>
    <row r="17" spans="1:7">
      <c r="A17" s="8" t="str">
        <v>TP10f</v>
      </c>
      <c r="B17" s="8" t="str">
        <v>Canalisations, assainnissement et adduction d'eau avec fourniture de tuyaux avec fourniture de tuyaux multi-matériaux</v>
      </c>
      <c r="C17" s="151">
        <v>4.1899441340781829E-2</v>
      </c>
      <c r="D17" s="151">
        <v>2.5637755102041027E-2</v>
      </c>
    </row>
    <row r="18" spans="1:7">
      <c r="A18" s="8" t="str">
        <v>TP12a</v>
      </c>
      <c r="B18" s="8" t="str">
        <v>Réseaux d'énergie et de communication</v>
      </c>
      <c r="C18" s="151">
        <v>4.1146216017633908E-2</v>
      </c>
      <c r="D18" s="151">
        <v>4.1229385307346433E-2</v>
      </c>
    </row>
    <row r="19" spans="1:7">
      <c r="A19" s="8" t="str">
        <v>TP10d</v>
      </c>
      <c r="B19" s="8" t="str">
        <v>Réseaux de chauffage et de froid avec fourniture de tuyaux</v>
      </c>
      <c r="C19" s="151">
        <v>3.905013192612139E-2</v>
      </c>
      <c r="D19" s="151">
        <v>2.3305084745762761E-2</v>
      </c>
    </row>
    <row r="20" spans="1:7">
      <c r="A20" s="8" t="str">
        <v>TP04</v>
      </c>
      <c r="B20" s="8" t="str">
        <v xml:space="preserve">Fondations et travaux géotechniques </v>
      </c>
      <c r="C20" s="151">
        <v>3.789578658688586E-2</v>
      </c>
      <c r="D20" s="151">
        <v>3.0249558860599768E-2</v>
      </c>
      <c r="G20" s="150"/>
    </row>
    <row r="21" spans="1:7">
      <c r="A21" s="8" t="str">
        <v>TP12b</v>
      </c>
      <c r="B21" s="8" t="str">
        <v>Éclairage public -Travaux d'installation</v>
      </c>
      <c r="C21" s="151">
        <v>3.7392884964944084E-2</v>
      </c>
      <c r="D21" s="151">
        <v>1.9623131903833801E-2</v>
      </c>
    </row>
    <row r="22" spans="1:7">
      <c r="A22" s="8" t="str">
        <v>TP11</v>
      </c>
      <c r="B22" s="8" t="str">
        <v>Canalisations grandes distances de transport / transfert  avec fourniture de tuyaux</v>
      </c>
      <c r="C22" s="151">
        <v>3.6377512083439312E-2</v>
      </c>
      <c r="D22" s="151">
        <v>1.6507936507936583E-2</v>
      </c>
    </row>
    <row r="23" spans="1:7">
      <c r="A23" s="8" t="str">
        <v>TP10e</v>
      </c>
      <c r="B23" s="8" t="str">
        <v>Canalisations, assainnissement et adduction d'eau avec fourniture de tuyaux en fonte majoritaire</v>
      </c>
      <c r="C23" s="151">
        <v>3.3615601744931833E-2</v>
      </c>
      <c r="D23" s="151">
        <v>1.9554869419786458E-2</v>
      </c>
    </row>
    <row r="24" spans="1:7">
      <c r="A24" s="8" t="str">
        <v>TP10b</v>
      </c>
      <c r="B24" s="8" t="str">
        <v>Canalisations sans fourniture de tuyaux</v>
      </c>
      <c r="C24" s="151">
        <v>2.7322404371584508E-2</v>
      </c>
      <c r="D24" s="151">
        <v>2.3448275862069101E-2</v>
      </c>
    </row>
    <row r="25" spans="1:7">
      <c r="A25" s="8" t="str">
        <v>TP13a</v>
      </c>
      <c r="B25" s="8" t="str">
        <v>Charpentes et ouvrages d'art métalliques</v>
      </c>
      <c r="C25" s="151">
        <v>2.5095227425498745E-2</v>
      </c>
      <c r="D25" s="151">
        <v>5.2274496718942576E-3</v>
      </c>
    </row>
    <row r="26" spans="1:7">
      <c r="A26" s="8" t="str">
        <v>TP12c</v>
      </c>
      <c r="B26" s="8" t="str">
        <v>Éclairage public - Travaux  de maintenance</v>
      </c>
      <c r="C26" s="151">
        <v>2.3202447730749753E-2</v>
      </c>
      <c r="D26" s="151">
        <v>1.8482864844050706E-2</v>
      </c>
    </row>
    <row r="27" spans="1:7">
      <c r="A27" s="8" t="str">
        <v>TP02</v>
      </c>
      <c r="B27" s="8" t="str">
        <v>Travaux de génie civil et d’ouvrages d’art neufs ou rénovation</v>
      </c>
      <c r="C27" s="151">
        <v>2.3108732668450482E-2</v>
      </c>
      <c r="D27" s="151">
        <v>2.237246465888143E-2</v>
      </c>
    </row>
    <row r="28" spans="1:7">
      <c r="A28" s="8" t="str">
        <v>TP12d</v>
      </c>
      <c r="B28" s="8" t="str">
        <v>Réseaux de communication en fibre optique</v>
      </c>
      <c r="C28" s="151">
        <v>2.3078940466823905E-2</v>
      </c>
      <c r="D28" s="151">
        <v>2.7848101265822711E-2</v>
      </c>
    </row>
    <row r="29" spans="1:7">
      <c r="A29" s="8" t="str">
        <v>TP05a</v>
      </c>
      <c r="B29" s="8" t="str">
        <v xml:space="preserve">Travaux en souterrains traditionnels </v>
      </c>
      <c r="C29" s="151">
        <v>2.252141982864142E-2</v>
      </c>
      <c r="D29" s="151">
        <v>2.2904543766250063E-2</v>
      </c>
    </row>
    <row r="30" spans="1:7">
      <c r="A30" s="8" t="str">
        <v>TP05b</v>
      </c>
      <c r="B30" s="8" t="str">
        <v xml:space="preserve">Travaux en souterrains avec tunnelier </v>
      </c>
      <c r="C30" s="151">
        <v>1.6990291262136026E-2</v>
      </c>
      <c r="D30" s="151">
        <v>2.3903400689995191E-2</v>
      </c>
    </row>
    <row r="31" spans="1:7">
      <c r="A31" s="8" t="str">
        <v>TP13b</v>
      </c>
      <c r="B31" s="8" t="str">
        <v>Charpentes et ouvrages d'art métalliques sans fourniture des aciers</v>
      </c>
      <c r="C31" s="153">
        <v>1.1491501077328214E-2</v>
      </c>
      <c r="D31" s="153">
        <v>3.0161844041196595E-2</v>
      </c>
    </row>
  </sheetData>
  <sheetProtection algorithmName="SHA-512" hashValue="K3xpXZxz1BI2zxzfRnyhex8PT/+fpPxRK7+t9bLdle5JtPRfGP39e5P8VjgsT5iBLKCEE+XwJSOB3V7fP8wMFg==" saltValue="ZonsZLkWo3/jTjKjwEeqqQ==" spinCount="100000" sheet="1" objects="1" scenarios="1"/>
  <conditionalFormatting sqref="C8:C31">
    <cfRule type="colorScale" priority="1">
      <colorScale>
        <cfvo type="min"/>
        <cfvo type="percentile" val="50"/>
        <cfvo type="max"/>
        <color theme="5" tint="0.39997558519241921"/>
        <color theme="0"/>
        <color theme="9"/>
      </colorScale>
    </cfRule>
  </conditionalFormatting>
  <conditionalFormatting sqref="D8:D31">
    <cfRule type="colorScale" priority="2">
      <colorScale>
        <cfvo type="min"/>
        <cfvo type="percentile" val="50"/>
        <cfvo type="max"/>
        <color theme="5" tint="0.39997558519241921"/>
        <color theme="0"/>
        <color theme="9"/>
      </colorScale>
    </cfRule>
  </conditionalFormatting>
  <pageMargins left="0.7" right="0.7" top="0.75" bottom="0.75" header="0.3" footer="0.3"/>
  <pageSetup paperSize="9" scale="81"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A7133-4AF6-4B70-92B9-224CA5A977DB}">
  <sheetPr codeName="Feuil1">
    <tabColor rgb="FFFFC000"/>
  </sheetPr>
  <dimension ref="A1:Z144"/>
  <sheetViews>
    <sheetView zoomScale="90" zoomScaleNormal="90" workbookViewId="0">
      <pane xSplit="1" ySplit="3" topLeftCell="B110" activePane="bottomRight" state="frozen"/>
      <selection activeCell="A37" sqref="A37"/>
      <selection pane="topRight" activeCell="A37" sqref="A37"/>
      <selection pane="bottomLeft" activeCell="A37" sqref="A37"/>
      <selection pane="bottomRight" activeCell="A127" sqref="A127:XFD127"/>
    </sheetView>
  </sheetViews>
  <sheetFormatPr baseColWidth="10" defaultRowHeight="15"/>
  <cols>
    <col min="11" max="11" width="10.5703125" customWidth="1"/>
  </cols>
  <sheetData>
    <row r="1" spans="1:25">
      <c r="B1" t="s">
        <v>0</v>
      </c>
      <c r="C1" t="s">
        <v>1</v>
      </c>
      <c r="D1" t="s">
        <v>2</v>
      </c>
      <c r="E1" t="s">
        <v>3</v>
      </c>
      <c r="F1" t="s">
        <v>4</v>
      </c>
      <c r="G1" t="s">
        <v>5</v>
      </c>
      <c r="H1" t="s">
        <v>6</v>
      </c>
      <c r="I1" t="s">
        <v>7</v>
      </c>
      <c r="J1" t="s">
        <v>8</v>
      </c>
      <c r="K1" t="s">
        <v>275</v>
      </c>
      <c r="L1" t="s">
        <v>349</v>
      </c>
      <c r="M1" t="s">
        <v>9</v>
      </c>
      <c r="N1" t="s">
        <v>10</v>
      </c>
      <c r="O1" t="s">
        <v>11</v>
      </c>
      <c r="P1" t="s">
        <v>12</v>
      </c>
      <c r="Q1" t="s">
        <v>276</v>
      </c>
      <c r="R1" t="s">
        <v>277</v>
      </c>
      <c r="S1" t="s">
        <v>13</v>
      </c>
      <c r="T1" t="s">
        <v>14</v>
      </c>
      <c r="U1" t="s">
        <v>15</v>
      </c>
      <c r="V1" t="s">
        <v>16</v>
      </c>
      <c r="W1" t="s">
        <v>17</v>
      </c>
      <c r="X1" t="s">
        <v>278</v>
      </c>
      <c r="Y1" t="s">
        <v>273</v>
      </c>
    </row>
    <row r="2" spans="1:25">
      <c r="B2" t="s">
        <v>18</v>
      </c>
      <c r="C2" t="s">
        <v>18</v>
      </c>
      <c r="D2" t="s">
        <v>18</v>
      </c>
      <c r="E2" t="s">
        <v>18</v>
      </c>
      <c r="F2" t="s">
        <v>18</v>
      </c>
      <c r="G2" t="s">
        <v>18</v>
      </c>
      <c r="H2" t="s">
        <v>18</v>
      </c>
      <c r="I2" t="s">
        <v>18</v>
      </c>
      <c r="J2" t="s">
        <v>18</v>
      </c>
      <c r="K2" t="s">
        <v>18</v>
      </c>
      <c r="L2" t="s">
        <v>18</v>
      </c>
      <c r="M2" t="s">
        <v>18</v>
      </c>
      <c r="N2" t="s">
        <v>18</v>
      </c>
      <c r="O2" t="s">
        <v>18</v>
      </c>
      <c r="P2" t="s">
        <v>18</v>
      </c>
      <c r="Q2" t="s">
        <v>18</v>
      </c>
      <c r="R2" t="s">
        <v>18</v>
      </c>
      <c r="S2" t="s">
        <v>18</v>
      </c>
      <c r="T2" t="s">
        <v>18</v>
      </c>
      <c r="U2" t="s">
        <v>18</v>
      </c>
      <c r="V2" t="s">
        <v>18</v>
      </c>
      <c r="W2" t="s">
        <v>18</v>
      </c>
      <c r="X2" t="s">
        <v>18</v>
      </c>
      <c r="Y2" t="s">
        <v>274</v>
      </c>
    </row>
    <row r="3" spans="1:25">
      <c r="B3" s="37" t="str">
        <f>HYPERLINK('CUMULS INDEX'!B3,'CUMULS INDEX'!B4)</f>
        <v>TP01</v>
      </c>
      <c r="C3" s="37" t="str">
        <f>HYPERLINK('CUMULS INDEX'!C3,'CUMULS INDEX'!C4)</f>
        <v>TP02</v>
      </c>
      <c r="D3" s="37" t="str">
        <f>HYPERLINK('CUMULS INDEX'!D3,'CUMULS INDEX'!D4)</f>
        <v>TP03a</v>
      </c>
      <c r="E3" s="37" t="str">
        <f>HYPERLINK('CUMULS INDEX'!E3,'CUMULS INDEX'!E4)</f>
        <v>TP03b</v>
      </c>
      <c r="F3" s="37" t="str">
        <f>HYPERLINK('CUMULS INDEX'!F3,'CUMULS INDEX'!F4)</f>
        <v>TP04</v>
      </c>
      <c r="G3" s="37" t="str">
        <f>HYPERLINK('CUMULS INDEX'!G3,'CUMULS INDEX'!G4)</f>
        <v>TP05a</v>
      </c>
      <c r="H3" s="37" t="str">
        <f>HYPERLINK('CUMULS INDEX'!H3,'CUMULS INDEX'!H4)</f>
        <v>TP05b</v>
      </c>
      <c r="I3" s="37" t="str">
        <f>HYPERLINK('CUMULS INDEX'!I3,'CUMULS INDEX'!I4)</f>
        <v>TP06a</v>
      </c>
      <c r="J3" s="37" t="str">
        <f>HYPERLINK('CUMULS INDEX'!J3,'CUMULS INDEX'!J4)</f>
        <v>TP06b</v>
      </c>
      <c r="K3" s="37" t="str">
        <f>HYPERLINK('CUMULS INDEX'!K3,'CUMULS INDEX'!K4)</f>
        <v>TP07b</v>
      </c>
      <c r="L3" s="37" t="str">
        <f>HYPERLINK('CUMULS INDEX'!L3,'CUMULS INDEX'!L4)</f>
        <v>TP08</v>
      </c>
      <c r="M3" s="37" t="str">
        <f>HYPERLINK('CUMULS INDEX'!M3,'CUMULS INDEX'!M4)</f>
        <v>TP09</v>
      </c>
      <c r="N3" s="37" t="str">
        <f>HYPERLINK('CUMULS INDEX'!N3,'CUMULS INDEX'!N4)</f>
        <v>TP10b</v>
      </c>
      <c r="O3" s="37" t="str">
        <f>HYPERLINK('CUMULS INDEX'!O3,'CUMULS INDEX'!O4)</f>
        <v>TP10c</v>
      </c>
      <c r="P3" s="37" t="str">
        <f>HYPERLINK('CUMULS INDEX'!P3,'CUMULS INDEX'!P4)</f>
        <v>TP10d</v>
      </c>
      <c r="Q3" s="175" t="str">
        <f>HYPERLINK('CUMULS INDEX'!Q3,'CUMULS INDEX'!Q4)</f>
        <v>TP10e</v>
      </c>
      <c r="R3" s="175" t="str">
        <f>HYPERLINK('CUMULS INDEX'!R3,'CUMULS INDEX'!R4)</f>
        <v>TP10f</v>
      </c>
      <c r="S3" s="37" t="str">
        <f>HYPERLINK('CUMULS INDEX'!S3,'CUMULS INDEX'!S4)</f>
        <v>TP11</v>
      </c>
      <c r="T3" s="37" t="str">
        <f>HYPERLINK('CUMULS INDEX'!T3,'CUMULS INDEX'!T4)</f>
        <v>TP12a</v>
      </c>
      <c r="U3" s="37" t="str">
        <f>HYPERLINK('CUMULS INDEX'!U3,'CUMULS INDEX'!U4)</f>
        <v>TP12b</v>
      </c>
      <c r="V3" s="37" t="str">
        <f>HYPERLINK('CUMULS INDEX'!V3,'CUMULS INDEX'!V4)</f>
        <v>TP12c</v>
      </c>
      <c r="W3" s="37" t="str">
        <f>HYPERLINK('CUMULS INDEX'!W3,'CUMULS INDEX'!W4)</f>
        <v>TP12d</v>
      </c>
      <c r="X3" s="37" t="str">
        <f>HYPERLINK('CUMULS INDEX'!X3,'CUMULS INDEX'!X4)</f>
        <v>TP13a</v>
      </c>
      <c r="Y3" s="175" t="str">
        <f>HYPERLINK('CUMULS INDEX'!Y3,'CUMULS INDEX'!Y4)</f>
        <v>TP13b</v>
      </c>
    </row>
    <row r="4" spans="1:25">
      <c r="A4" s="1">
        <v>41913</v>
      </c>
      <c r="B4">
        <v>106.5</v>
      </c>
      <c r="C4">
        <v>106.4</v>
      </c>
      <c r="D4">
        <v>105.8</v>
      </c>
      <c r="E4">
        <v>103.3</v>
      </c>
      <c r="F4">
        <v>105.4</v>
      </c>
      <c r="G4">
        <v>105</v>
      </c>
      <c r="H4">
        <v>105</v>
      </c>
      <c r="I4">
        <v>104.6</v>
      </c>
      <c r="J4">
        <v>104.7</v>
      </c>
      <c r="K4">
        <v>99.9</v>
      </c>
      <c r="L4">
        <v>107.1</v>
      </c>
      <c r="M4">
        <v>108.6</v>
      </c>
      <c r="N4">
        <v>107</v>
      </c>
      <c r="O4">
        <v>106.9</v>
      </c>
      <c r="P4" t="e">
        <v>#N/A</v>
      </c>
      <c r="Q4" t="e">
        <v>#N/A</v>
      </c>
      <c r="R4" s="188">
        <v>106.5</v>
      </c>
      <c r="S4">
        <v>105.4</v>
      </c>
      <c r="T4">
        <v>106.3</v>
      </c>
      <c r="U4">
        <v>106.5</v>
      </c>
      <c r="V4">
        <v>107.2</v>
      </c>
      <c r="W4" t="e">
        <v>#N/A</v>
      </c>
      <c r="X4">
        <v>103.9</v>
      </c>
      <c r="Y4" t="e">
        <v>#N/A</v>
      </c>
    </row>
    <row r="5" spans="1:25">
      <c r="A5" s="1">
        <f>EDATE(A4,1)</f>
        <v>41944</v>
      </c>
      <c r="B5">
        <v>105.6</v>
      </c>
      <c r="C5">
        <v>106</v>
      </c>
      <c r="D5">
        <v>105.4</v>
      </c>
      <c r="E5">
        <v>103</v>
      </c>
      <c r="F5">
        <v>104.8</v>
      </c>
      <c r="G5">
        <v>104.5</v>
      </c>
      <c r="H5">
        <v>104.5</v>
      </c>
      <c r="I5">
        <v>102.1</v>
      </c>
      <c r="J5">
        <v>104.1</v>
      </c>
      <c r="K5">
        <v>99.2</v>
      </c>
      <c r="L5">
        <v>105.5</v>
      </c>
      <c r="M5">
        <v>104.7</v>
      </c>
      <c r="N5">
        <v>106.8</v>
      </c>
      <c r="O5">
        <v>106</v>
      </c>
      <c r="P5" t="e">
        <v>#N/A</v>
      </c>
      <c r="Q5" t="e">
        <v>#N/A</v>
      </c>
      <c r="R5" s="188">
        <v>106.4</v>
      </c>
      <c r="S5">
        <v>105.2</v>
      </c>
      <c r="T5">
        <v>106.2</v>
      </c>
      <c r="U5">
        <v>105.9</v>
      </c>
      <c r="V5">
        <v>106.8</v>
      </c>
      <c r="W5" t="e">
        <v>#N/A</v>
      </c>
      <c r="X5">
        <v>103.9</v>
      </c>
      <c r="Y5" t="e">
        <v>#N/A</v>
      </c>
    </row>
    <row r="6" spans="1:25">
      <c r="A6" s="1">
        <f t="shared" ref="A6:A69" si="0">EDATE(A5,1)</f>
        <v>41974</v>
      </c>
      <c r="B6">
        <v>104.1</v>
      </c>
      <c r="C6">
        <v>105.7</v>
      </c>
      <c r="D6">
        <v>104.2</v>
      </c>
      <c r="E6">
        <v>101.3</v>
      </c>
      <c r="F6">
        <v>103.8</v>
      </c>
      <c r="G6">
        <v>103.8</v>
      </c>
      <c r="H6">
        <v>103.9</v>
      </c>
      <c r="I6">
        <v>97.6</v>
      </c>
      <c r="J6">
        <v>102.2</v>
      </c>
      <c r="K6">
        <v>98.3</v>
      </c>
      <c r="L6">
        <v>103.2</v>
      </c>
      <c r="M6">
        <v>99.3</v>
      </c>
      <c r="N6">
        <v>106.4</v>
      </c>
      <c r="O6">
        <v>104.5</v>
      </c>
      <c r="P6" t="e">
        <v>#N/A</v>
      </c>
      <c r="Q6" t="e">
        <v>#N/A</v>
      </c>
      <c r="R6" s="188">
        <v>105.7</v>
      </c>
      <c r="S6">
        <v>103.7</v>
      </c>
      <c r="T6">
        <v>105.9</v>
      </c>
      <c r="U6">
        <v>105.7</v>
      </c>
      <c r="V6">
        <v>106.6</v>
      </c>
      <c r="W6" t="e">
        <v>#N/A</v>
      </c>
      <c r="X6">
        <v>103.1</v>
      </c>
      <c r="Y6" t="e">
        <v>#N/A</v>
      </c>
    </row>
    <row r="7" spans="1:25">
      <c r="A7" s="1">
        <f t="shared" si="0"/>
        <v>42005</v>
      </c>
      <c r="B7">
        <v>102.8</v>
      </c>
      <c r="C7">
        <v>105.8</v>
      </c>
      <c r="D7">
        <v>104.2</v>
      </c>
      <c r="E7">
        <v>102.3</v>
      </c>
      <c r="F7">
        <v>103.7</v>
      </c>
      <c r="G7">
        <v>104.1</v>
      </c>
      <c r="H7">
        <v>104.2</v>
      </c>
      <c r="I7">
        <v>98.7</v>
      </c>
      <c r="J7">
        <v>102.2</v>
      </c>
      <c r="K7">
        <v>97.5</v>
      </c>
      <c r="L7">
        <v>100.6</v>
      </c>
      <c r="M7">
        <v>92.5</v>
      </c>
      <c r="N7">
        <v>106.6</v>
      </c>
      <c r="O7">
        <v>102.9</v>
      </c>
      <c r="P7" t="e">
        <v>#N/A</v>
      </c>
      <c r="Q7" t="e">
        <v>#N/A</v>
      </c>
      <c r="R7" s="188">
        <v>105.6</v>
      </c>
      <c r="S7">
        <v>103.1</v>
      </c>
      <c r="T7">
        <v>105.7</v>
      </c>
      <c r="U7">
        <v>105.4</v>
      </c>
      <c r="V7">
        <v>106.6</v>
      </c>
      <c r="W7" t="e">
        <v>#N/A</v>
      </c>
      <c r="X7">
        <v>102.9</v>
      </c>
      <c r="Y7" t="e">
        <v>#N/A</v>
      </c>
    </row>
    <row r="8" spans="1:25">
      <c r="A8" s="1">
        <f t="shared" si="0"/>
        <v>42036</v>
      </c>
      <c r="B8">
        <v>103</v>
      </c>
      <c r="C8">
        <v>105.7</v>
      </c>
      <c r="D8">
        <v>104.9</v>
      </c>
      <c r="E8">
        <v>103</v>
      </c>
      <c r="F8">
        <v>104.1</v>
      </c>
      <c r="G8">
        <v>104.3</v>
      </c>
      <c r="H8">
        <v>104.5</v>
      </c>
      <c r="I8">
        <v>102.2</v>
      </c>
      <c r="J8">
        <v>103.4</v>
      </c>
      <c r="K8">
        <v>97.8</v>
      </c>
      <c r="L8">
        <v>100.8</v>
      </c>
      <c r="M8">
        <v>92.2</v>
      </c>
      <c r="N8">
        <v>106.8</v>
      </c>
      <c r="O8">
        <v>101.9</v>
      </c>
      <c r="P8" t="e">
        <v>#N/A</v>
      </c>
      <c r="Q8" t="e">
        <v>#N/A</v>
      </c>
      <c r="R8" s="188">
        <v>105.6</v>
      </c>
      <c r="S8">
        <v>102.6</v>
      </c>
      <c r="T8">
        <v>105.9</v>
      </c>
      <c r="U8">
        <v>104.7</v>
      </c>
      <c r="V8">
        <v>106.7</v>
      </c>
      <c r="W8" t="e">
        <v>#N/A</v>
      </c>
      <c r="X8">
        <v>103.1</v>
      </c>
      <c r="Y8" t="e">
        <v>#N/A</v>
      </c>
    </row>
    <row r="9" spans="1:25">
      <c r="A9" s="1">
        <f t="shared" si="0"/>
        <v>42064</v>
      </c>
      <c r="B9">
        <v>103.5</v>
      </c>
      <c r="C9">
        <v>105.8</v>
      </c>
      <c r="D9">
        <v>104.9</v>
      </c>
      <c r="E9">
        <v>103.7</v>
      </c>
      <c r="F9">
        <v>104.2</v>
      </c>
      <c r="G9">
        <v>104.4</v>
      </c>
      <c r="H9">
        <v>104.6</v>
      </c>
      <c r="I9">
        <v>101.8</v>
      </c>
      <c r="J9">
        <v>103.6</v>
      </c>
      <c r="K9">
        <v>98.4</v>
      </c>
      <c r="L9">
        <v>101.6</v>
      </c>
      <c r="M9">
        <v>94.3</v>
      </c>
      <c r="N9">
        <v>106.9</v>
      </c>
      <c r="O9">
        <v>102.8</v>
      </c>
      <c r="P9" t="e">
        <v>#N/A</v>
      </c>
      <c r="Q9" t="e">
        <v>#N/A</v>
      </c>
      <c r="R9" s="188">
        <v>105.7</v>
      </c>
      <c r="S9">
        <v>102.6</v>
      </c>
      <c r="T9">
        <v>105.9</v>
      </c>
      <c r="U9">
        <v>105.4</v>
      </c>
      <c r="V9">
        <v>107</v>
      </c>
      <c r="W9" t="e">
        <v>#N/A</v>
      </c>
      <c r="X9">
        <v>103.2</v>
      </c>
      <c r="Y9" t="e">
        <v>#N/A</v>
      </c>
    </row>
    <row r="10" spans="1:25">
      <c r="A10" s="1">
        <f t="shared" si="0"/>
        <v>42095</v>
      </c>
      <c r="B10">
        <v>103.6</v>
      </c>
      <c r="C10">
        <v>105.9</v>
      </c>
      <c r="D10">
        <v>105</v>
      </c>
      <c r="E10">
        <v>103.7</v>
      </c>
      <c r="F10">
        <v>104.2</v>
      </c>
      <c r="G10">
        <v>104.6</v>
      </c>
      <c r="H10">
        <v>104.7</v>
      </c>
      <c r="I10">
        <v>104.3</v>
      </c>
      <c r="J10">
        <v>103.8</v>
      </c>
      <c r="K10">
        <v>98.5</v>
      </c>
      <c r="L10">
        <v>101.5</v>
      </c>
      <c r="M10">
        <v>94.6</v>
      </c>
      <c r="N10">
        <v>106.8</v>
      </c>
      <c r="O10">
        <v>103.6</v>
      </c>
      <c r="P10" t="e">
        <v>#N/A</v>
      </c>
      <c r="Q10" t="e">
        <v>#N/A</v>
      </c>
      <c r="R10" s="188">
        <v>105.8</v>
      </c>
      <c r="S10">
        <v>102.8</v>
      </c>
      <c r="T10">
        <v>105.9</v>
      </c>
      <c r="U10">
        <v>105.4</v>
      </c>
      <c r="V10">
        <v>107.1</v>
      </c>
      <c r="W10" t="e">
        <v>#N/A</v>
      </c>
      <c r="X10">
        <v>103.2</v>
      </c>
      <c r="Y10" t="e">
        <v>#N/A</v>
      </c>
    </row>
    <row r="11" spans="1:25">
      <c r="A11" s="1">
        <f t="shared" si="0"/>
        <v>42125</v>
      </c>
      <c r="B11">
        <v>104.1</v>
      </c>
      <c r="C11">
        <v>106.1</v>
      </c>
      <c r="D11">
        <v>105.6</v>
      </c>
      <c r="E11">
        <v>103.9</v>
      </c>
      <c r="F11">
        <v>104.8</v>
      </c>
      <c r="G11">
        <v>104.7</v>
      </c>
      <c r="H11">
        <v>104.9</v>
      </c>
      <c r="I11">
        <v>104</v>
      </c>
      <c r="J11">
        <v>104.5</v>
      </c>
      <c r="K11">
        <v>98.4</v>
      </c>
      <c r="L11">
        <v>102.3</v>
      </c>
      <c r="M11">
        <v>96</v>
      </c>
      <c r="N11">
        <v>107.2</v>
      </c>
      <c r="O11">
        <v>107.4</v>
      </c>
      <c r="P11" t="e">
        <v>#N/A</v>
      </c>
      <c r="Q11" t="e">
        <v>#N/A</v>
      </c>
      <c r="R11" s="188">
        <v>105.9</v>
      </c>
      <c r="S11">
        <v>102.3</v>
      </c>
      <c r="T11">
        <v>106.2</v>
      </c>
      <c r="U11">
        <v>104.8</v>
      </c>
      <c r="V11">
        <v>107</v>
      </c>
      <c r="W11" t="e">
        <v>#N/A</v>
      </c>
      <c r="X11">
        <v>103.1</v>
      </c>
      <c r="Y11" t="e">
        <v>#N/A</v>
      </c>
    </row>
    <row r="12" spans="1:25">
      <c r="A12" s="1">
        <f t="shared" si="0"/>
        <v>42156</v>
      </c>
      <c r="B12">
        <v>104.1</v>
      </c>
      <c r="C12">
        <v>106</v>
      </c>
      <c r="D12">
        <v>105.3</v>
      </c>
      <c r="E12">
        <v>103.7</v>
      </c>
      <c r="F12">
        <v>104.5</v>
      </c>
      <c r="G12">
        <v>104.5</v>
      </c>
      <c r="H12">
        <v>104.7</v>
      </c>
      <c r="I12">
        <v>103.5</v>
      </c>
      <c r="J12">
        <v>104</v>
      </c>
      <c r="K12">
        <v>97.7</v>
      </c>
      <c r="L12">
        <v>102.7</v>
      </c>
      <c r="M12">
        <v>97.4</v>
      </c>
      <c r="N12">
        <v>106.9</v>
      </c>
      <c r="O12">
        <v>108</v>
      </c>
      <c r="P12" t="e">
        <v>#N/A</v>
      </c>
      <c r="Q12" t="e">
        <v>#N/A</v>
      </c>
      <c r="R12" s="188">
        <v>105.6</v>
      </c>
      <c r="S12">
        <v>101.8</v>
      </c>
      <c r="T12">
        <v>106.2</v>
      </c>
      <c r="U12">
        <v>104.8</v>
      </c>
      <c r="V12">
        <v>106.9</v>
      </c>
      <c r="W12" t="e">
        <v>#N/A</v>
      </c>
      <c r="X12">
        <v>102.8</v>
      </c>
      <c r="Y12" t="e">
        <v>#N/A</v>
      </c>
    </row>
    <row r="13" spans="1:25">
      <c r="A13" s="1">
        <f t="shared" si="0"/>
        <v>42186</v>
      </c>
      <c r="B13">
        <v>103.6</v>
      </c>
      <c r="C13">
        <v>106.2</v>
      </c>
      <c r="D13">
        <v>104.9</v>
      </c>
      <c r="E13">
        <v>103.2</v>
      </c>
      <c r="F13">
        <v>104.2</v>
      </c>
      <c r="G13">
        <v>104.4</v>
      </c>
      <c r="H13">
        <v>104.7</v>
      </c>
      <c r="I13">
        <v>101.4</v>
      </c>
      <c r="J13">
        <v>103.4</v>
      </c>
      <c r="K13">
        <v>97.6</v>
      </c>
      <c r="L13">
        <v>102.1</v>
      </c>
      <c r="M13">
        <v>95.7</v>
      </c>
      <c r="N13">
        <v>106.9</v>
      </c>
      <c r="O13">
        <v>108.4</v>
      </c>
      <c r="P13" t="e">
        <v>#N/A</v>
      </c>
      <c r="Q13" t="e">
        <v>#N/A</v>
      </c>
      <c r="R13" s="188">
        <v>106</v>
      </c>
      <c r="S13">
        <v>101.8</v>
      </c>
      <c r="T13">
        <v>106.2</v>
      </c>
      <c r="U13">
        <v>104.3</v>
      </c>
      <c r="V13">
        <v>106.8</v>
      </c>
      <c r="W13" t="e">
        <v>#N/A</v>
      </c>
      <c r="X13">
        <v>102.8</v>
      </c>
      <c r="Y13" t="e">
        <v>#N/A</v>
      </c>
    </row>
    <row r="14" spans="1:25">
      <c r="A14" s="1">
        <f t="shared" si="0"/>
        <v>42217</v>
      </c>
      <c r="B14">
        <v>102.9</v>
      </c>
      <c r="C14">
        <v>106.2</v>
      </c>
      <c r="D14">
        <v>104.4</v>
      </c>
      <c r="E14">
        <v>102.7</v>
      </c>
      <c r="F14">
        <v>103.7</v>
      </c>
      <c r="G14">
        <v>104.4</v>
      </c>
      <c r="H14">
        <v>104.6</v>
      </c>
      <c r="I14">
        <v>98.7</v>
      </c>
      <c r="J14">
        <v>102.3</v>
      </c>
      <c r="K14">
        <v>97.7</v>
      </c>
      <c r="L14">
        <v>101</v>
      </c>
      <c r="M14">
        <v>93</v>
      </c>
      <c r="N14">
        <v>106.9</v>
      </c>
      <c r="O14">
        <v>107</v>
      </c>
      <c r="P14" t="e">
        <v>#N/A</v>
      </c>
      <c r="Q14" t="e">
        <v>#N/A</v>
      </c>
      <c r="R14" s="188">
        <v>105.9</v>
      </c>
      <c r="S14">
        <v>101.4</v>
      </c>
      <c r="T14">
        <v>105.9</v>
      </c>
      <c r="U14">
        <v>104.1</v>
      </c>
      <c r="V14">
        <v>106.8</v>
      </c>
      <c r="W14" t="e">
        <v>#N/A</v>
      </c>
      <c r="X14">
        <v>102.3</v>
      </c>
      <c r="Y14" t="e">
        <v>#N/A</v>
      </c>
    </row>
    <row r="15" spans="1:25">
      <c r="A15" s="1">
        <f t="shared" si="0"/>
        <v>42248</v>
      </c>
      <c r="B15">
        <v>101.9</v>
      </c>
      <c r="C15">
        <v>105.6</v>
      </c>
      <c r="D15">
        <v>104.2</v>
      </c>
      <c r="E15">
        <v>102.7</v>
      </c>
      <c r="F15">
        <v>103.2</v>
      </c>
      <c r="G15">
        <v>103.5</v>
      </c>
      <c r="H15">
        <v>103.8</v>
      </c>
      <c r="I15">
        <v>98.2</v>
      </c>
      <c r="J15">
        <v>102.2</v>
      </c>
      <c r="K15">
        <v>96.7</v>
      </c>
      <c r="L15">
        <v>99.4</v>
      </c>
      <c r="M15">
        <v>89.2</v>
      </c>
      <c r="N15">
        <v>106.5</v>
      </c>
      <c r="O15">
        <v>105.2</v>
      </c>
      <c r="P15" t="e">
        <v>#N/A</v>
      </c>
      <c r="Q15" t="e">
        <v>#N/A</v>
      </c>
      <c r="R15" s="188">
        <v>105.4</v>
      </c>
      <c r="S15">
        <v>100.6</v>
      </c>
      <c r="T15">
        <v>105.5</v>
      </c>
      <c r="U15">
        <v>103.8</v>
      </c>
      <c r="V15">
        <v>106.6</v>
      </c>
      <c r="W15" t="e">
        <v>#N/A</v>
      </c>
      <c r="X15">
        <v>101.7</v>
      </c>
      <c r="Y15" t="e">
        <v>#N/A</v>
      </c>
    </row>
    <row r="16" spans="1:25">
      <c r="A16" s="1">
        <f t="shared" si="0"/>
        <v>42278</v>
      </c>
      <c r="B16">
        <v>101.7</v>
      </c>
      <c r="C16">
        <v>105.2</v>
      </c>
      <c r="D16">
        <v>104</v>
      </c>
      <c r="E16">
        <v>102.6</v>
      </c>
      <c r="F16">
        <v>102.7</v>
      </c>
      <c r="G16">
        <v>103.3</v>
      </c>
      <c r="H16">
        <v>103.6</v>
      </c>
      <c r="I16">
        <v>98.5</v>
      </c>
      <c r="J16">
        <v>102</v>
      </c>
      <c r="K16">
        <v>96.1</v>
      </c>
      <c r="L16">
        <v>99</v>
      </c>
      <c r="M16">
        <v>88.4</v>
      </c>
      <c r="N16">
        <v>106.5</v>
      </c>
      <c r="O16">
        <v>103.8</v>
      </c>
      <c r="P16" t="e">
        <v>#N/A</v>
      </c>
      <c r="Q16" t="e">
        <v>#N/A</v>
      </c>
      <c r="R16" s="188">
        <v>105.5</v>
      </c>
      <c r="S16">
        <v>100.7</v>
      </c>
      <c r="T16">
        <v>105.5</v>
      </c>
      <c r="U16">
        <v>103.6</v>
      </c>
      <c r="V16">
        <v>106.7</v>
      </c>
      <c r="W16" t="e">
        <v>#N/A</v>
      </c>
      <c r="X16">
        <v>101.6</v>
      </c>
      <c r="Y16" t="e">
        <v>#N/A</v>
      </c>
    </row>
    <row r="17" spans="1:25">
      <c r="A17" s="1">
        <f t="shared" si="0"/>
        <v>42309</v>
      </c>
      <c r="B17">
        <v>101.6</v>
      </c>
      <c r="C17">
        <v>105.2</v>
      </c>
      <c r="D17">
        <v>104.2</v>
      </c>
      <c r="E17">
        <v>102.7</v>
      </c>
      <c r="F17">
        <v>102.7</v>
      </c>
      <c r="G17">
        <v>103.2</v>
      </c>
      <c r="H17">
        <v>103.7</v>
      </c>
      <c r="I17">
        <v>98.6</v>
      </c>
      <c r="J17">
        <v>102.4</v>
      </c>
      <c r="K17">
        <v>94.7</v>
      </c>
      <c r="L17">
        <v>98.8</v>
      </c>
      <c r="M17">
        <v>87.8</v>
      </c>
      <c r="N17">
        <v>106.7</v>
      </c>
      <c r="O17">
        <v>104.2</v>
      </c>
      <c r="P17" t="e">
        <v>#N/A</v>
      </c>
      <c r="Q17" t="e">
        <v>#N/A</v>
      </c>
      <c r="R17" s="188">
        <v>105.8</v>
      </c>
      <c r="S17">
        <v>101.1</v>
      </c>
      <c r="T17">
        <v>105.3</v>
      </c>
      <c r="U17">
        <v>103</v>
      </c>
      <c r="V17">
        <v>106.6</v>
      </c>
      <c r="W17" t="e">
        <v>#N/A</v>
      </c>
      <c r="X17">
        <v>101.6</v>
      </c>
      <c r="Y17" t="e">
        <v>#N/A</v>
      </c>
    </row>
    <row r="18" spans="1:25">
      <c r="A18" s="1">
        <f t="shared" si="0"/>
        <v>42339</v>
      </c>
      <c r="B18">
        <v>100.8</v>
      </c>
      <c r="C18">
        <v>104.5</v>
      </c>
      <c r="D18">
        <v>103.2</v>
      </c>
      <c r="E18">
        <v>101.6</v>
      </c>
      <c r="F18">
        <v>101.4</v>
      </c>
      <c r="G18">
        <v>102.5</v>
      </c>
      <c r="H18">
        <v>103</v>
      </c>
      <c r="I18">
        <v>95.2</v>
      </c>
      <c r="J18">
        <v>100.6</v>
      </c>
      <c r="K18">
        <v>92.9</v>
      </c>
      <c r="L18">
        <v>97.9</v>
      </c>
      <c r="M18">
        <v>86.2</v>
      </c>
      <c r="N18">
        <v>106.5</v>
      </c>
      <c r="O18">
        <v>104.1</v>
      </c>
      <c r="P18" t="e">
        <v>#N/A</v>
      </c>
      <c r="Q18" t="e">
        <v>#N/A</v>
      </c>
      <c r="R18" s="188">
        <v>105.2</v>
      </c>
      <c r="S18">
        <v>99.9</v>
      </c>
      <c r="T18">
        <v>105.1</v>
      </c>
      <c r="U18">
        <v>103.2</v>
      </c>
      <c r="V18">
        <v>106.5</v>
      </c>
      <c r="W18" t="e">
        <v>#N/A</v>
      </c>
      <c r="X18">
        <v>100.8</v>
      </c>
      <c r="Y18" t="e">
        <v>#N/A</v>
      </c>
    </row>
    <row r="19" spans="1:25">
      <c r="A19" s="1">
        <f t="shared" si="0"/>
        <v>42370</v>
      </c>
      <c r="B19">
        <v>100.2</v>
      </c>
      <c r="C19">
        <v>104.1</v>
      </c>
      <c r="D19">
        <v>103.3</v>
      </c>
      <c r="E19">
        <v>101.6</v>
      </c>
      <c r="F19">
        <v>100.9</v>
      </c>
      <c r="G19">
        <v>102.1</v>
      </c>
      <c r="H19">
        <v>102.7</v>
      </c>
      <c r="I19">
        <v>96.3</v>
      </c>
      <c r="J19">
        <v>100.6</v>
      </c>
      <c r="K19">
        <v>91.5</v>
      </c>
      <c r="L19">
        <v>96.7</v>
      </c>
      <c r="M19">
        <v>83.2</v>
      </c>
      <c r="N19">
        <v>106.5</v>
      </c>
      <c r="O19">
        <v>103.9</v>
      </c>
      <c r="P19" t="e">
        <v>#N/A</v>
      </c>
      <c r="Q19" t="e">
        <v>#N/A</v>
      </c>
      <c r="R19" s="188">
        <v>105.2</v>
      </c>
      <c r="S19">
        <v>100.8</v>
      </c>
      <c r="T19">
        <v>105.2</v>
      </c>
      <c r="U19">
        <v>103.7</v>
      </c>
      <c r="V19">
        <v>106.5</v>
      </c>
      <c r="W19" t="e">
        <v>#N/A</v>
      </c>
      <c r="X19">
        <v>100.6</v>
      </c>
      <c r="Y19" t="e">
        <v>#N/A</v>
      </c>
    </row>
    <row r="20" spans="1:25">
      <c r="A20" s="1">
        <f t="shared" si="0"/>
        <v>42401</v>
      </c>
      <c r="B20">
        <v>100</v>
      </c>
      <c r="C20">
        <v>103.6</v>
      </c>
      <c r="D20">
        <v>103.3</v>
      </c>
      <c r="E20">
        <v>101.7</v>
      </c>
      <c r="F20">
        <v>100.4</v>
      </c>
      <c r="G20">
        <v>101.8</v>
      </c>
      <c r="H20">
        <v>102.4</v>
      </c>
      <c r="I20">
        <v>96.1</v>
      </c>
      <c r="J20">
        <v>100.6</v>
      </c>
      <c r="K20">
        <v>91.1</v>
      </c>
      <c r="L20">
        <v>96.4</v>
      </c>
      <c r="M20">
        <v>82.6</v>
      </c>
      <c r="N20">
        <v>106.5</v>
      </c>
      <c r="O20">
        <v>103.1</v>
      </c>
      <c r="P20" t="e">
        <v>#N/A</v>
      </c>
      <c r="Q20" t="e">
        <v>#N/A</v>
      </c>
      <c r="R20" s="188">
        <v>105.1</v>
      </c>
      <c r="S20">
        <v>100.7</v>
      </c>
      <c r="T20">
        <v>104.7</v>
      </c>
      <c r="U20">
        <v>103.6</v>
      </c>
      <c r="V20">
        <v>106.6</v>
      </c>
      <c r="W20" t="e">
        <v>#N/A</v>
      </c>
      <c r="X20">
        <v>100.9</v>
      </c>
      <c r="Y20" t="e">
        <v>#N/A</v>
      </c>
    </row>
    <row r="21" spans="1:25">
      <c r="A21" s="1">
        <f t="shared" si="0"/>
        <v>42430</v>
      </c>
      <c r="B21">
        <v>100.1</v>
      </c>
      <c r="C21">
        <v>103.6</v>
      </c>
      <c r="D21">
        <v>103.6</v>
      </c>
      <c r="E21">
        <v>102.3</v>
      </c>
      <c r="F21">
        <v>100.7</v>
      </c>
      <c r="G21">
        <v>101.7</v>
      </c>
      <c r="H21">
        <v>102.4</v>
      </c>
      <c r="I21">
        <v>96.8</v>
      </c>
      <c r="J21">
        <v>101.5</v>
      </c>
      <c r="K21">
        <v>91.1</v>
      </c>
      <c r="L21">
        <v>96.5</v>
      </c>
      <c r="M21">
        <v>82.8</v>
      </c>
      <c r="N21">
        <v>106.5</v>
      </c>
      <c r="O21">
        <v>103</v>
      </c>
      <c r="P21" t="e">
        <v>#N/A</v>
      </c>
      <c r="Q21" t="e">
        <v>#N/A</v>
      </c>
      <c r="R21" s="188">
        <v>105.1</v>
      </c>
      <c r="S21">
        <v>99.7</v>
      </c>
      <c r="T21">
        <v>104.9</v>
      </c>
      <c r="U21">
        <v>103</v>
      </c>
      <c r="V21">
        <v>106.8</v>
      </c>
      <c r="W21" t="e">
        <v>#N/A</v>
      </c>
      <c r="X21">
        <v>101.3</v>
      </c>
      <c r="Y21" t="e">
        <v>#N/A</v>
      </c>
    </row>
    <row r="22" spans="1:25">
      <c r="A22" s="1">
        <f t="shared" si="0"/>
        <v>42461</v>
      </c>
      <c r="B22">
        <v>100.6</v>
      </c>
      <c r="C22">
        <v>103.9</v>
      </c>
      <c r="D22">
        <v>103.7</v>
      </c>
      <c r="E22">
        <v>102</v>
      </c>
      <c r="F22">
        <v>101.1</v>
      </c>
      <c r="G22">
        <v>101.9</v>
      </c>
      <c r="H22">
        <v>102.6</v>
      </c>
      <c r="I22">
        <v>98</v>
      </c>
      <c r="J22">
        <v>101.5</v>
      </c>
      <c r="K22">
        <v>91.6</v>
      </c>
      <c r="L22">
        <v>96.9</v>
      </c>
      <c r="M22">
        <v>83.7</v>
      </c>
      <c r="N22">
        <v>106.7</v>
      </c>
      <c r="O22">
        <v>104.4</v>
      </c>
      <c r="P22" t="e">
        <v>#N/A</v>
      </c>
      <c r="Q22" t="e">
        <v>#N/A</v>
      </c>
      <c r="R22" s="188">
        <v>105.1</v>
      </c>
      <c r="S22">
        <v>99.3</v>
      </c>
      <c r="T22">
        <v>105</v>
      </c>
      <c r="U22">
        <v>103.1</v>
      </c>
      <c r="V22">
        <v>107.1</v>
      </c>
      <c r="W22" t="e">
        <v>#N/A</v>
      </c>
      <c r="X22">
        <v>101.7</v>
      </c>
      <c r="Y22" t="e">
        <v>#N/A</v>
      </c>
    </row>
    <row r="23" spans="1:25">
      <c r="A23" s="1">
        <f t="shared" si="0"/>
        <v>42491</v>
      </c>
      <c r="B23">
        <v>101.2</v>
      </c>
      <c r="C23">
        <v>104.4</v>
      </c>
      <c r="D23">
        <v>104.2</v>
      </c>
      <c r="E23">
        <v>102.6</v>
      </c>
      <c r="F23">
        <v>101.8</v>
      </c>
      <c r="G23">
        <v>102.3</v>
      </c>
      <c r="H23">
        <v>102.8</v>
      </c>
      <c r="I23">
        <v>99</v>
      </c>
      <c r="J23">
        <v>102.4</v>
      </c>
      <c r="K23">
        <v>92.4</v>
      </c>
      <c r="L23">
        <v>97.7</v>
      </c>
      <c r="M23">
        <v>85.4</v>
      </c>
      <c r="N23">
        <v>107.1</v>
      </c>
      <c r="O23">
        <v>104.6</v>
      </c>
      <c r="P23" t="e">
        <v>#N/A</v>
      </c>
      <c r="Q23" t="e">
        <v>#N/A</v>
      </c>
      <c r="R23" s="188">
        <v>105.4</v>
      </c>
      <c r="S23">
        <v>99.9</v>
      </c>
      <c r="T23">
        <v>105.4</v>
      </c>
      <c r="U23">
        <v>102.8</v>
      </c>
      <c r="V23">
        <v>107.2</v>
      </c>
      <c r="W23" t="e">
        <v>#N/A</v>
      </c>
      <c r="X23">
        <v>101.8</v>
      </c>
      <c r="Y23" t="e">
        <v>#N/A</v>
      </c>
    </row>
    <row r="24" spans="1:25">
      <c r="A24" s="1">
        <f t="shared" si="0"/>
        <v>42522</v>
      </c>
      <c r="B24">
        <v>102.1</v>
      </c>
      <c r="C24">
        <v>105.6</v>
      </c>
      <c r="D24">
        <v>104.4</v>
      </c>
      <c r="E24">
        <v>102.8</v>
      </c>
      <c r="F24">
        <v>103.2</v>
      </c>
      <c r="G24">
        <v>103.3</v>
      </c>
      <c r="H24">
        <v>103.7</v>
      </c>
      <c r="I24">
        <v>100.7</v>
      </c>
      <c r="J24">
        <v>102.7</v>
      </c>
      <c r="K24">
        <v>95.1</v>
      </c>
      <c r="L24">
        <v>99</v>
      </c>
      <c r="M24">
        <v>88.6</v>
      </c>
      <c r="N24">
        <v>107.2</v>
      </c>
      <c r="O24">
        <v>105.2</v>
      </c>
      <c r="P24" t="e">
        <v>#N/A</v>
      </c>
      <c r="Q24" t="e">
        <v>#N/A</v>
      </c>
      <c r="R24" s="188">
        <v>105.3</v>
      </c>
      <c r="S24">
        <v>98.7</v>
      </c>
      <c r="T24">
        <v>105.6</v>
      </c>
      <c r="U24">
        <v>103.3</v>
      </c>
      <c r="V24">
        <v>107.8</v>
      </c>
      <c r="W24" t="e">
        <v>#N/A</v>
      </c>
      <c r="X24">
        <v>102.3</v>
      </c>
      <c r="Y24" t="e">
        <v>#N/A</v>
      </c>
    </row>
    <row r="25" spans="1:25">
      <c r="A25" s="1">
        <f t="shared" si="0"/>
        <v>42552</v>
      </c>
      <c r="B25">
        <v>102.3</v>
      </c>
      <c r="C25">
        <v>105.9</v>
      </c>
      <c r="D25">
        <v>104.4</v>
      </c>
      <c r="E25">
        <v>102.6</v>
      </c>
      <c r="F25">
        <v>103.4</v>
      </c>
      <c r="G25">
        <v>103.8</v>
      </c>
      <c r="H25">
        <v>104.1</v>
      </c>
      <c r="I25">
        <v>99.7</v>
      </c>
      <c r="J25">
        <v>102.4</v>
      </c>
      <c r="K25">
        <v>95.6</v>
      </c>
      <c r="L25">
        <v>99.5</v>
      </c>
      <c r="M25">
        <v>89.8</v>
      </c>
      <c r="N25">
        <v>107.4</v>
      </c>
      <c r="O25">
        <v>105.1</v>
      </c>
      <c r="P25" t="e">
        <v>#N/A</v>
      </c>
      <c r="Q25" t="e">
        <v>#N/A</v>
      </c>
      <c r="R25" s="188">
        <v>105.2</v>
      </c>
      <c r="S25">
        <v>98.4</v>
      </c>
      <c r="T25">
        <v>105.7</v>
      </c>
      <c r="U25">
        <v>102.1</v>
      </c>
      <c r="V25">
        <v>107.4</v>
      </c>
      <c r="W25" t="e">
        <v>#N/A</v>
      </c>
      <c r="X25">
        <v>102.7</v>
      </c>
      <c r="Y25" t="e">
        <v>#N/A</v>
      </c>
    </row>
    <row r="26" spans="1:25">
      <c r="A26" s="1">
        <f t="shared" si="0"/>
        <v>42583</v>
      </c>
      <c r="B26">
        <v>102.3</v>
      </c>
      <c r="C26">
        <v>106.4</v>
      </c>
      <c r="D26">
        <v>104.3</v>
      </c>
      <c r="E26">
        <v>102.6</v>
      </c>
      <c r="F26">
        <v>103.8</v>
      </c>
      <c r="G26">
        <v>104.2</v>
      </c>
      <c r="H26">
        <v>104.5</v>
      </c>
      <c r="I26">
        <v>101</v>
      </c>
      <c r="J26">
        <v>102.5</v>
      </c>
      <c r="K26">
        <v>96.4</v>
      </c>
      <c r="L26">
        <v>99.3</v>
      </c>
      <c r="M26">
        <v>89.5</v>
      </c>
      <c r="N26">
        <v>107.2</v>
      </c>
      <c r="O26">
        <v>105</v>
      </c>
      <c r="P26" t="e">
        <v>#N/A</v>
      </c>
      <c r="Q26" t="e">
        <v>#N/A</v>
      </c>
      <c r="R26" s="188">
        <v>105.2</v>
      </c>
      <c r="S26">
        <v>98.6</v>
      </c>
      <c r="T26">
        <v>105.6</v>
      </c>
      <c r="U26">
        <v>102.2</v>
      </c>
      <c r="V26">
        <v>107.4</v>
      </c>
      <c r="W26" t="e">
        <v>#N/A</v>
      </c>
      <c r="X26">
        <v>102.7</v>
      </c>
      <c r="Y26" t="e">
        <v>#N/A</v>
      </c>
    </row>
    <row r="27" spans="1:25">
      <c r="A27" s="1">
        <f t="shared" si="0"/>
        <v>42614</v>
      </c>
      <c r="B27">
        <v>102.6</v>
      </c>
      <c r="C27">
        <v>106.5</v>
      </c>
      <c r="D27">
        <v>104.5</v>
      </c>
      <c r="E27">
        <v>102.7</v>
      </c>
      <c r="F27">
        <v>104</v>
      </c>
      <c r="G27">
        <v>104.2</v>
      </c>
      <c r="H27">
        <v>104.5</v>
      </c>
      <c r="I27">
        <v>101</v>
      </c>
      <c r="J27">
        <v>102.6</v>
      </c>
      <c r="K27">
        <v>96.9</v>
      </c>
      <c r="L27">
        <v>99.6</v>
      </c>
      <c r="M27">
        <v>90.2</v>
      </c>
      <c r="N27">
        <v>107.4</v>
      </c>
      <c r="O27">
        <v>105.5</v>
      </c>
      <c r="P27" t="e">
        <v>#N/A</v>
      </c>
      <c r="Q27" t="e">
        <v>#N/A</v>
      </c>
      <c r="R27" s="188">
        <v>105.3</v>
      </c>
      <c r="S27">
        <v>99.2</v>
      </c>
      <c r="T27">
        <v>105.8</v>
      </c>
      <c r="U27">
        <v>103.5</v>
      </c>
      <c r="V27">
        <v>107.7</v>
      </c>
      <c r="W27" t="e">
        <v>#N/A</v>
      </c>
      <c r="X27">
        <v>102.9</v>
      </c>
      <c r="Y27" t="e">
        <v>#N/A</v>
      </c>
    </row>
    <row r="28" spans="1:25">
      <c r="A28" s="1">
        <f t="shared" si="0"/>
        <v>42644</v>
      </c>
      <c r="B28">
        <v>103</v>
      </c>
      <c r="C28">
        <v>106</v>
      </c>
      <c r="D28">
        <v>104.9</v>
      </c>
      <c r="E28">
        <v>103.3</v>
      </c>
      <c r="F28">
        <v>103.6</v>
      </c>
      <c r="G28">
        <v>103.7</v>
      </c>
      <c r="H28">
        <v>104.2</v>
      </c>
      <c r="I28">
        <v>102.1</v>
      </c>
      <c r="J28">
        <v>103.3</v>
      </c>
      <c r="K28">
        <v>96.2</v>
      </c>
      <c r="L28">
        <v>100.3</v>
      </c>
      <c r="M28">
        <v>91.6</v>
      </c>
      <c r="N28">
        <v>107.7</v>
      </c>
      <c r="O28">
        <v>105.9</v>
      </c>
      <c r="P28" t="e">
        <v>#N/A</v>
      </c>
      <c r="Q28" t="e">
        <v>#N/A</v>
      </c>
      <c r="R28" s="188">
        <v>105.5</v>
      </c>
      <c r="S28">
        <v>99.6</v>
      </c>
      <c r="T28">
        <v>105.9</v>
      </c>
      <c r="U28">
        <v>104.4</v>
      </c>
      <c r="V28">
        <v>108.2</v>
      </c>
      <c r="W28" t="e">
        <v>#N/A</v>
      </c>
      <c r="X28">
        <v>103</v>
      </c>
      <c r="Y28" t="e">
        <v>#N/A</v>
      </c>
    </row>
    <row r="29" spans="1:25">
      <c r="A29" s="1">
        <f t="shared" si="0"/>
        <v>42675</v>
      </c>
      <c r="B29">
        <v>103.3</v>
      </c>
      <c r="C29">
        <v>106.2</v>
      </c>
      <c r="D29">
        <v>104.9</v>
      </c>
      <c r="E29">
        <v>103.2</v>
      </c>
      <c r="F29">
        <v>103.5</v>
      </c>
      <c r="G29">
        <v>103.9</v>
      </c>
      <c r="H29">
        <v>104.5</v>
      </c>
      <c r="I29">
        <v>102.1</v>
      </c>
      <c r="J29">
        <v>103.2</v>
      </c>
      <c r="K29">
        <v>96.2</v>
      </c>
      <c r="L29">
        <v>100.8</v>
      </c>
      <c r="M29">
        <v>93.1</v>
      </c>
      <c r="N29">
        <v>107.9</v>
      </c>
      <c r="O29">
        <v>105.8</v>
      </c>
      <c r="P29" t="e">
        <v>#N/A</v>
      </c>
      <c r="Q29" t="e">
        <v>#N/A</v>
      </c>
      <c r="R29" s="188">
        <v>105.8</v>
      </c>
      <c r="S29">
        <v>100</v>
      </c>
      <c r="T29">
        <v>105.9</v>
      </c>
      <c r="U29">
        <v>104.1</v>
      </c>
      <c r="V29">
        <v>108.2</v>
      </c>
      <c r="W29" t="e">
        <v>#N/A</v>
      </c>
      <c r="X29">
        <v>103.4</v>
      </c>
      <c r="Y29" t="e">
        <v>#N/A</v>
      </c>
    </row>
    <row r="30" spans="1:25">
      <c r="A30" s="1">
        <f t="shared" si="0"/>
        <v>42705</v>
      </c>
      <c r="B30">
        <v>103.7</v>
      </c>
      <c r="C30">
        <v>106.5</v>
      </c>
      <c r="D30">
        <v>105.2</v>
      </c>
      <c r="E30">
        <v>103.8</v>
      </c>
      <c r="F30">
        <v>104.1</v>
      </c>
      <c r="G30">
        <v>104.3</v>
      </c>
      <c r="H30">
        <v>104.7</v>
      </c>
      <c r="I30">
        <v>104.9</v>
      </c>
      <c r="J30">
        <v>103.9</v>
      </c>
      <c r="K30">
        <v>97.3</v>
      </c>
      <c r="L30">
        <v>101.5</v>
      </c>
      <c r="M30">
        <v>94.3</v>
      </c>
      <c r="N30">
        <v>107.9</v>
      </c>
      <c r="O30">
        <v>105.5</v>
      </c>
      <c r="P30" t="e">
        <v>#N/A</v>
      </c>
      <c r="Q30" t="e">
        <v>#N/A</v>
      </c>
      <c r="R30" s="188">
        <v>105.8</v>
      </c>
      <c r="S30">
        <v>100.1</v>
      </c>
      <c r="T30">
        <v>106.3</v>
      </c>
      <c r="U30">
        <v>104.3</v>
      </c>
      <c r="V30">
        <v>108.2</v>
      </c>
      <c r="W30" t="e">
        <v>#N/A</v>
      </c>
      <c r="X30">
        <v>104</v>
      </c>
      <c r="Y30" t="e">
        <v>#N/A</v>
      </c>
    </row>
    <row r="31" spans="1:25">
      <c r="A31" s="1">
        <f t="shared" si="0"/>
        <v>42736</v>
      </c>
      <c r="B31">
        <v>104.9</v>
      </c>
      <c r="C31">
        <v>107</v>
      </c>
      <c r="D31">
        <v>105.8</v>
      </c>
      <c r="E31">
        <v>104</v>
      </c>
      <c r="F31">
        <v>104.8</v>
      </c>
      <c r="G31">
        <v>104.7</v>
      </c>
      <c r="H31">
        <v>105.2</v>
      </c>
      <c r="I31">
        <v>105.9</v>
      </c>
      <c r="J31">
        <v>104.4</v>
      </c>
      <c r="K31">
        <v>98.5</v>
      </c>
      <c r="L31">
        <v>103.2</v>
      </c>
      <c r="M31">
        <v>98.6</v>
      </c>
      <c r="N31">
        <v>108.5</v>
      </c>
      <c r="O31">
        <v>107</v>
      </c>
      <c r="P31" t="e">
        <v>#N/A</v>
      </c>
      <c r="Q31" t="e">
        <v>#N/A</v>
      </c>
      <c r="R31" s="188">
        <v>106.1</v>
      </c>
      <c r="S31">
        <v>100.2</v>
      </c>
      <c r="T31">
        <v>107</v>
      </c>
      <c r="U31">
        <v>104.8</v>
      </c>
      <c r="V31">
        <v>108.7</v>
      </c>
      <c r="W31" t="e">
        <v>#N/A</v>
      </c>
      <c r="X31">
        <v>104.1</v>
      </c>
      <c r="Y31" t="e">
        <v>#N/A</v>
      </c>
    </row>
    <row r="32" spans="1:25">
      <c r="A32" s="1">
        <f t="shared" si="0"/>
        <v>42767</v>
      </c>
      <c r="B32">
        <v>105</v>
      </c>
      <c r="C32">
        <v>107.2</v>
      </c>
      <c r="D32">
        <v>106</v>
      </c>
      <c r="E32">
        <v>104.5</v>
      </c>
      <c r="F32">
        <v>105.1</v>
      </c>
      <c r="G32">
        <v>105.1</v>
      </c>
      <c r="H32">
        <v>105.5</v>
      </c>
      <c r="I32">
        <v>106.1</v>
      </c>
      <c r="J32">
        <v>104.6</v>
      </c>
      <c r="K32">
        <v>99.9</v>
      </c>
      <c r="L32">
        <v>103.2</v>
      </c>
      <c r="M32">
        <v>98.4</v>
      </c>
      <c r="N32">
        <v>108.6</v>
      </c>
      <c r="O32">
        <v>108</v>
      </c>
      <c r="P32" t="e">
        <v>#N/A</v>
      </c>
      <c r="Q32" t="e">
        <v>#N/A</v>
      </c>
      <c r="R32" s="188">
        <v>106.1</v>
      </c>
      <c r="S32">
        <v>100.5</v>
      </c>
      <c r="T32">
        <v>107.2</v>
      </c>
      <c r="U32">
        <v>105.2</v>
      </c>
      <c r="V32">
        <v>108.9</v>
      </c>
      <c r="W32">
        <v>109.2</v>
      </c>
      <c r="X32">
        <v>104.3</v>
      </c>
      <c r="Y32" t="e">
        <v>#N/A</v>
      </c>
    </row>
    <row r="33" spans="1:25">
      <c r="A33" s="1">
        <f t="shared" si="0"/>
        <v>42795</v>
      </c>
      <c r="B33">
        <v>105.1</v>
      </c>
      <c r="C33">
        <v>107.6</v>
      </c>
      <c r="D33">
        <v>106</v>
      </c>
      <c r="E33">
        <v>104.7</v>
      </c>
      <c r="F33">
        <v>105.2</v>
      </c>
      <c r="G33">
        <v>105.3</v>
      </c>
      <c r="H33">
        <v>105.8</v>
      </c>
      <c r="I33">
        <v>105.6</v>
      </c>
      <c r="J33">
        <v>104.6</v>
      </c>
      <c r="K33">
        <v>101.6</v>
      </c>
      <c r="L33">
        <v>102.9</v>
      </c>
      <c r="M33">
        <v>97.7</v>
      </c>
      <c r="N33">
        <v>108.7</v>
      </c>
      <c r="O33">
        <v>108.8</v>
      </c>
      <c r="P33" t="e">
        <v>#N/A</v>
      </c>
      <c r="Q33" t="e">
        <v>#N/A</v>
      </c>
      <c r="R33" s="188">
        <v>106.4</v>
      </c>
      <c r="S33">
        <v>100.7</v>
      </c>
      <c r="T33">
        <v>107.4</v>
      </c>
      <c r="U33">
        <v>105.5</v>
      </c>
      <c r="V33">
        <v>109</v>
      </c>
      <c r="W33">
        <v>109.4</v>
      </c>
      <c r="X33">
        <v>104.6</v>
      </c>
      <c r="Y33" t="e">
        <v>#N/A</v>
      </c>
    </row>
    <row r="34" spans="1:25">
      <c r="A34" s="1">
        <f t="shared" si="0"/>
        <v>42826</v>
      </c>
      <c r="B34">
        <v>104.8</v>
      </c>
      <c r="C34">
        <v>107.7</v>
      </c>
      <c r="D34">
        <v>105.9</v>
      </c>
      <c r="E34">
        <v>104.8</v>
      </c>
      <c r="F34">
        <v>105.5</v>
      </c>
      <c r="G34">
        <v>105.5</v>
      </c>
      <c r="H34">
        <v>105.8</v>
      </c>
      <c r="I34">
        <v>105.4</v>
      </c>
      <c r="J34">
        <v>104.6</v>
      </c>
      <c r="K34">
        <v>102.5</v>
      </c>
      <c r="L34">
        <v>102.4</v>
      </c>
      <c r="M34">
        <v>96.2</v>
      </c>
      <c r="N34">
        <v>108.7</v>
      </c>
      <c r="O34">
        <v>108.6</v>
      </c>
      <c r="P34" t="e">
        <v>#N/A</v>
      </c>
      <c r="Q34" t="e">
        <v>#N/A</v>
      </c>
      <c r="R34" s="188">
        <v>106.4</v>
      </c>
      <c r="S34">
        <v>101</v>
      </c>
      <c r="T34">
        <v>107.5</v>
      </c>
      <c r="U34">
        <v>105.1</v>
      </c>
      <c r="V34">
        <v>109</v>
      </c>
      <c r="W34">
        <v>109.6</v>
      </c>
      <c r="X34">
        <v>104.6</v>
      </c>
      <c r="Y34" t="e">
        <v>#N/A</v>
      </c>
    </row>
    <row r="35" spans="1:25">
      <c r="A35" s="1">
        <f t="shared" si="0"/>
        <v>42856</v>
      </c>
      <c r="B35">
        <v>105</v>
      </c>
      <c r="C35">
        <v>107.9</v>
      </c>
      <c r="D35">
        <v>105.9</v>
      </c>
      <c r="E35">
        <v>104.4</v>
      </c>
      <c r="F35">
        <v>105.5</v>
      </c>
      <c r="G35">
        <v>105.5</v>
      </c>
      <c r="H35">
        <v>105.8</v>
      </c>
      <c r="I35">
        <v>105.5</v>
      </c>
      <c r="J35">
        <v>104.4</v>
      </c>
      <c r="K35">
        <v>102.6</v>
      </c>
      <c r="L35">
        <v>102.6</v>
      </c>
      <c r="M35">
        <v>96.9</v>
      </c>
      <c r="N35">
        <v>108.7</v>
      </c>
      <c r="O35">
        <v>108.8</v>
      </c>
      <c r="P35" t="e">
        <v>#N/A</v>
      </c>
      <c r="Q35" t="e">
        <v>#N/A</v>
      </c>
      <c r="R35" s="188">
        <v>106.7</v>
      </c>
      <c r="S35">
        <v>101</v>
      </c>
      <c r="T35">
        <v>107.4</v>
      </c>
      <c r="U35">
        <v>105.1</v>
      </c>
      <c r="V35">
        <v>108.9</v>
      </c>
      <c r="W35">
        <v>109.5</v>
      </c>
      <c r="X35">
        <v>104.3</v>
      </c>
      <c r="Y35" t="e">
        <v>#N/A</v>
      </c>
    </row>
    <row r="36" spans="1:25">
      <c r="A36" s="1">
        <f t="shared" si="0"/>
        <v>42887</v>
      </c>
      <c r="B36">
        <v>104.7</v>
      </c>
      <c r="C36">
        <v>107.9</v>
      </c>
      <c r="D36">
        <v>105.5</v>
      </c>
      <c r="E36">
        <v>104.1</v>
      </c>
      <c r="F36">
        <v>105.5</v>
      </c>
      <c r="G36">
        <v>105.8</v>
      </c>
      <c r="H36">
        <v>106</v>
      </c>
      <c r="I36">
        <v>104.7</v>
      </c>
      <c r="J36">
        <v>103.9</v>
      </c>
      <c r="K36">
        <v>102.9</v>
      </c>
      <c r="L36">
        <v>102</v>
      </c>
      <c r="M36">
        <v>95.9</v>
      </c>
      <c r="N36">
        <v>108.6</v>
      </c>
      <c r="O36">
        <v>108.2</v>
      </c>
      <c r="P36" t="e">
        <v>#N/A</v>
      </c>
      <c r="Q36" t="e">
        <v>#N/A</v>
      </c>
      <c r="R36" s="188">
        <v>106.3</v>
      </c>
      <c r="S36">
        <v>101.2</v>
      </c>
      <c r="T36">
        <v>107.3</v>
      </c>
      <c r="U36">
        <v>105.6</v>
      </c>
      <c r="V36">
        <v>109</v>
      </c>
      <c r="W36">
        <v>109.7</v>
      </c>
      <c r="X36">
        <v>104.4</v>
      </c>
      <c r="Y36" t="e">
        <v>#N/A</v>
      </c>
    </row>
    <row r="37" spans="1:25">
      <c r="A37" s="1">
        <f t="shared" si="0"/>
        <v>42917</v>
      </c>
      <c r="B37">
        <v>104.7</v>
      </c>
      <c r="C37">
        <v>108.1</v>
      </c>
      <c r="D37">
        <v>105.7</v>
      </c>
      <c r="E37">
        <v>104.4</v>
      </c>
      <c r="F37">
        <v>105.7</v>
      </c>
      <c r="G37">
        <v>105.9</v>
      </c>
      <c r="H37">
        <v>106.1</v>
      </c>
      <c r="I37">
        <v>104.8</v>
      </c>
      <c r="J37">
        <v>104.1</v>
      </c>
      <c r="K37">
        <v>103.2</v>
      </c>
      <c r="L37">
        <v>102.1</v>
      </c>
      <c r="M37">
        <v>95.7</v>
      </c>
      <c r="N37">
        <v>108.7</v>
      </c>
      <c r="O37">
        <v>107.3</v>
      </c>
      <c r="P37" t="e">
        <v>#N/A</v>
      </c>
      <c r="Q37" t="e">
        <v>#N/A</v>
      </c>
      <c r="R37" s="188">
        <v>106.4</v>
      </c>
      <c r="S37">
        <v>101.7</v>
      </c>
      <c r="T37">
        <v>107.4</v>
      </c>
      <c r="U37">
        <v>105.6</v>
      </c>
      <c r="V37">
        <v>109</v>
      </c>
      <c r="W37">
        <v>109.8</v>
      </c>
      <c r="X37">
        <v>104.6</v>
      </c>
      <c r="Y37" t="e">
        <v>#N/A</v>
      </c>
    </row>
    <row r="38" spans="1:25">
      <c r="A38" s="1">
        <f t="shared" si="0"/>
        <v>42948</v>
      </c>
      <c r="B38">
        <v>105</v>
      </c>
      <c r="C38">
        <v>108.4</v>
      </c>
      <c r="D38">
        <v>106</v>
      </c>
      <c r="E38">
        <v>104.5</v>
      </c>
      <c r="F38">
        <v>106</v>
      </c>
      <c r="G38">
        <v>106.4</v>
      </c>
      <c r="H38">
        <v>106.5</v>
      </c>
      <c r="I38">
        <v>105.1</v>
      </c>
      <c r="J38">
        <v>104.4</v>
      </c>
      <c r="K38">
        <v>102.8</v>
      </c>
      <c r="L38">
        <v>102.4</v>
      </c>
      <c r="M38">
        <v>95.8</v>
      </c>
      <c r="N38">
        <v>109</v>
      </c>
      <c r="O38">
        <v>107.9</v>
      </c>
      <c r="P38" t="e">
        <v>#N/A</v>
      </c>
      <c r="Q38" t="e">
        <v>#N/A</v>
      </c>
      <c r="R38" s="188">
        <v>106.8</v>
      </c>
      <c r="S38">
        <v>102.1</v>
      </c>
      <c r="T38">
        <v>107.6</v>
      </c>
      <c r="U38">
        <v>105.2</v>
      </c>
      <c r="V38">
        <v>109.1</v>
      </c>
      <c r="W38">
        <v>109.8</v>
      </c>
      <c r="X38">
        <v>104.7</v>
      </c>
      <c r="Y38" t="e">
        <v>#N/A</v>
      </c>
    </row>
    <row r="39" spans="1:25">
      <c r="A39" s="1">
        <f t="shared" si="0"/>
        <v>42979</v>
      </c>
      <c r="B39">
        <v>105.2</v>
      </c>
      <c r="C39">
        <v>108.8</v>
      </c>
      <c r="D39">
        <v>106.2</v>
      </c>
      <c r="E39">
        <v>104.7</v>
      </c>
      <c r="F39">
        <v>106.6</v>
      </c>
      <c r="G39">
        <v>106.5</v>
      </c>
      <c r="H39">
        <v>106.6</v>
      </c>
      <c r="I39">
        <v>105.2</v>
      </c>
      <c r="J39">
        <v>104.8</v>
      </c>
      <c r="K39">
        <v>102.3</v>
      </c>
      <c r="L39">
        <v>102.6</v>
      </c>
      <c r="M39">
        <v>96.4</v>
      </c>
      <c r="N39">
        <v>109.1</v>
      </c>
      <c r="O39">
        <v>108.5</v>
      </c>
      <c r="P39" t="e">
        <v>#N/A</v>
      </c>
      <c r="Q39" t="e">
        <v>#N/A</v>
      </c>
      <c r="R39" s="188">
        <v>106.8</v>
      </c>
      <c r="S39">
        <v>101.4</v>
      </c>
      <c r="T39">
        <v>107.7</v>
      </c>
      <c r="U39">
        <v>105.1</v>
      </c>
      <c r="V39">
        <v>109.3</v>
      </c>
      <c r="W39">
        <v>110</v>
      </c>
      <c r="X39">
        <v>106.1</v>
      </c>
      <c r="Y39" t="e">
        <v>#N/A</v>
      </c>
    </row>
    <row r="40" spans="1:25">
      <c r="A40" s="1">
        <f t="shared" si="0"/>
        <v>43009</v>
      </c>
      <c r="B40">
        <v>105.7</v>
      </c>
      <c r="C40">
        <v>109.6</v>
      </c>
      <c r="D40">
        <v>106.3</v>
      </c>
      <c r="E40">
        <v>105</v>
      </c>
      <c r="F40">
        <v>107.4</v>
      </c>
      <c r="G40">
        <v>107.2</v>
      </c>
      <c r="H40">
        <v>107.1</v>
      </c>
      <c r="I40">
        <v>105.9</v>
      </c>
      <c r="J40">
        <v>104.9</v>
      </c>
      <c r="K40">
        <v>102.5</v>
      </c>
      <c r="L40">
        <v>103</v>
      </c>
      <c r="M40">
        <v>97.4</v>
      </c>
      <c r="N40">
        <v>109.1</v>
      </c>
      <c r="O40">
        <v>108.8</v>
      </c>
      <c r="P40" t="e">
        <v>#N/A</v>
      </c>
      <c r="Q40" t="e">
        <v>#N/A</v>
      </c>
      <c r="R40" s="188">
        <v>107</v>
      </c>
      <c r="S40">
        <v>101.9</v>
      </c>
      <c r="T40">
        <v>107.9</v>
      </c>
      <c r="U40">
        <v>105.7</v>
      </c>
      <c r="V40">
        <v>109.5</v>
      </c>
      <c r="W40">
        <v>110.1</v>
      </c>
      <c r="X40">
        <v>106.1</v>
      </c>
      <c r="Y40" t="e">
        <v>#N/A</v>
      </c>
    </row>
    <row r="41" spans="1:25">
      <c r="A41" s="1">
        <f t="shared" si="0"/>
        <v>43040</v>
      </c>
      <c r="B41">
        <v>106.1</v>
      </c>
      <c r="C41">
        <v>110.4</v>
      </c>
      <c r="D41">
        <v>106.6</v>
      </c>
      <c r="E41">
        <v>105</v>
      </c>
      <c r="F41">
        <v>108.3</v>
      </c>
      <c r="G41">
        <v>107.9</v>
      </c>
      <c r="H41">
        <v>107.8</v>
      </c>
      <c r="I41">
        <v>107.2</v>
      </c>
      <c r="J41">
        <v>105.2</v>
      </c>
      <c r="K41">
        <v>101.6</v>
      </c>
      <c r="L41">
        <v>103.5</v>
      </c>
      <c r="M41">
        <v>98.4</v>
      </c>
      <c r="N41">
        <v>109.3</v>
      </c>
      <c r="O41">
        <v>108.5</v>
      </c>
      <c r="P41" t="e">
        <v>#N/A</v>
      </c>
      <c r="Q41" t="e">
        <v>#N/A</v>
      </c>
      <c r="R41" s="188">
        <v>107.2</v>
      </c>
      <c r="S41">
        <v>101.7</v>
      </c>
      <c r="T41">
        <v>108.1</v>
      </c>
      <c r="U41">
        <v>105.5</v>
      </c>
      <c r="V41">
        <v>109.6</v>
      </c>
      <c r="W41">
        <v>110.2</v>
      </c>
      <c r="X41">
        <v>106</v>
      </c>
      <c r="Y41" t="e">
        <v>#N/A</v>
      </c>
    </row>
    <row r="42" spans="1:25">
      <c r="A42" s="1">
        <f t="shared" si="0"/>
        <v>43070</v>
      </c>
      <c r="B42">
        <v>106.4</v>
      </c>
      <c r="C42">
        <v>110.7</v>
      </c>
      <c r="D42">
        <v>106.5</v>
      </c>
      <c r="E42">
        <v>105</v>
      </c>
      <c r="F42">
        <v>108.4</v>
      </c>
      <c r="G42">
        <v>108</v>
      </c>
      <c r="H42">
        <v>107.9</v>
      </c>
      <c r="I42">
        <v>107.2</v>
      </c>
      <c r="J42">
        <v>105.4</v>
      </c>
      <c r="K42">
        <v>103.2</v>
      </c>
      <c r="L42">
        <v>104.1</v>
      </c>
      <c r="M42">
        <v>99.8</v>
      </c>
      <c r="N42">
        <v>109.3</v>
      </c>
      <c r="O42">
        <v>108.9</v>
      </c>
      <c r="P42" t="e">
        <v>#N/A</v>
      </c>
      <c r="Q42" t="e">
        <v>#N/A</v>
      </c>
      <c r="R42" s="188">
        <v>107.3</v>
      </c>
      <c r="S42">
        <v>101.6</v>
      </c>
      <c r="T42">
        <v>108.2</v>
      </c>
      <c r="U42">
        <v>105.8</v>
      </c>
      <c r="V42">
        <v>109.8</v>
      </c>
      <c r="W42">
        <v>110.3</v>
      </c>
      <c r="X42">
        <v>106.5</v>
      </c>
      <c r="Y42" t="e">
        <v>#N/A</v>
      </c>
    </row>
    <row r="43" spans="1:25">
      <c r="A43" s="1">
        <f t="shared" si="0"/>
        <v>43101</v>
      </c>
      <c r="B43">
        <v>107.3</v>
      </c>
      <c r="C43">
        <v>111.2</v>
      </c>
      <c r="D43">
        <v>107.7</v>
      </c>
      <c r="E43">
        <v>107.2</v>
      </c>
      <c r="F43">
        <v>109.5</v>
      </c>
      <c r="G43">
        <v>108.8</v>
      </c>
      <c r="H43">
        <v>108.6</v>
      </c>
      <c r="I43">
        <v>109.7</v>
      </c>
      <c r="J43">
        <v>106.7</v>
      </c>
      <c r="K43">
        <v>105.3</v>
      </c>
      <c r="L43">
        <v>105.1</v>
      </c>
      <c r="M43">
        <v>100.7</v>
      </c>
      <c r="N43">
        <v>110.1</v>
      </c>
      <c r="O43">
        <v>109.7</v>
      </c>
      <c r="P43" t="e">
        <v>#N/A</v>
      </c>
      <c r="Q43" t="e">
        <v>#N/A</v>
      </c>
      <c r="R43" s="188">
        <v>107.9</v>
      </c>
      <c r="S43">
        <v>102.5</v>
      </c>
      <c r="T43">
        <v>109</v>
      </c>
      <c r="U43">
        <v>106.5</v>
      </c>
      <c r="V43">
        <v>110.4</v>
      </c>
      <c r="W43">
        <v>110.8</v>
      </c>
      <c r="X43">
        <v>108.4</v>
      </c>
      <c r="Y43" t="e">
        <v>#N/A</v>
      </c>
    </row>
    <row r="44" spans="1:25">
      <c r="A44" s="1">
        <f t="shared" si="0"/>
        <v>43132</v>
      </c>
      <c r="B44">
        <v>107.4</v>
      </c>
      <c r="C44">
        <v>111.5</v>
      </c>
      <c r="D44">
        <v>107.6</v>
      </c>
      <c r="E44">
        <v>106.4</v>
      </c>
      <c r="F44">
        <v>109.5</v>
      </c>
      <c r="G44">
        <v>108.9</v>
      </c>
      <c r="H44">
        <v>108.9</v>
      </c>
      <c r="I44">
        <v>109.6</v>
      </c>
      <c r="J44">
        <v>106.4</v>
      </c>
      <c r="K44">
        <v>104.9</v>
      </c>
      <c r="L44">
        <v>105.2</v>
      </c>
      <c r="M44">
        <v>100.8</v>
      </c>
      <c r="N44">
        <v>110.2</v>
      </c>
      <c r="O44">
        <v>110</v>
      </c>
      <c r="P44" t="e">
        <v>#N/A</v>
      </c>
      <c r="Q44" t="e">
        <v>#N/A</v>
      </c>
      <c r="R44" s="188">
        <v>108</v>
      </c>
      <c r="S44">
        <v>102.6</v>
      </c>
      <c r="T44">
        <v>109.2</v>
      </c>
      <c r="U44">
        <v>106.7</v>
      </c>
      <c r="V44">
        <v>110.5</v>
      </c>
      <c r="W44">
        <v>110.9</v>
      </c>
      <c r="X44">
        <v>107.7</v>
      </c>
      <c r="Y44" t="e">
        <v>#N/A</v>
      </c>
    </row>
    <row r="45" spans="1:25">
      <c r="A45" s="1">
        <f t="shared" si="0"/>
        <v>43160</v>
      </c>
      <c r="B45">
        <v>107.7</v>
      </c>
      <c r="C45">
        <v>112</v>
      </c>
      <c r="D45">
        <v>108.1</v>
      </c>
      <c r="E45">
        <v>107.1</v>
      </c>
      <c r="F45">
        <v>110</v>
      </c>
      <c r="G45">
        <v>109.4</v>
      </c>
      <c r="H45">
        <v>109.3</v>
      </c>
      <c r="I45">
        <v>109.2</v>
      </c>
      <c r="J45">
        <v>106.8</v>
      </c>
      <c r="K45">
        <v>105.3</v>
      </c>
      <c r="L45">
        <v>105.4</v>
      </c>
      <c r="M45">
        <v>100.1</v>
      </c>
      <c r="N45">
        <v>110.7</v>
      </c>
      <c r="O45">
        <v>110.1</v>
      </c>
      <c r="P45" t="e">
        <v>#N/A</v>
      </c>
      <c r="Q45" t="e">
        <v>#N/A</v>
      </c>
      <c r="R45" s="188">
        <v>108.3</v>
      </c>
      <c r="S45">
        <v>102.7</v>
      </c>
      <c r="T45">
        <v>109.5</v>
      </c>
      <c r="U45">
        <v>106.8</v>
      </c>
      <c r="V45">
        <v>110.8</v>
      </c>
      <c r="W45">
        <v>111.3</v>
      </c>
      <c r="X45">
        <v>112.1</v>
      </c>
      <c r="Y45" t="e">
        <v>#N/A</v>
      </c>
    </row>
    <row r="46" spans="1:25">
      <c r="A46" s="1">
        <f t="shared" si="0"/>
        <v>43191</v>
      </c>
      <c r="B46">
        <v>108.1</v>
      </c>
      <c r="C46">
        <v>112.2</v>
      </c>
      <c r="D46">
        <v>108.5</v>
      </c>
      <c r="E46">
        <v>106.7</v>
      </c>
      <c r="F46">
        <v>110.5</v>
      </c>
      <c r="G46">
        <v>109.6</v>
      </c>
      <c r="H46">
        <v>109.5</v>
      </c>
      <c r="I46">
        <v>110.4</v>
      </c>
      <c r="J46">
        <v>107.5</v>
      </c>
      <c r="K46">
        <v>105.2</v>
      </c>
      <c r="L46">
        <v>105.9</v>
      </c>
      <c r="M46">
        <v>101</v>
      </c>
      <c r="N46">
        <v>111</v>
      </c>
      <c r="O46">
        <v>109.7</v>
      </c>
      <c r="P46" t="e">
        <v>#N/A</v>
      </c>
      <c r="Q46" t="e">
        <v>#N/A</v>
      </c>
      <c r="R46" s="188">
        <v>108.6</v>
      </c>
      <c r="S46">
        <v>103.8</v>
      </c>
      <c r="T46">
        <v>109.8</v>
      </c>
      <c r="U46">
        <v>108</v>
      </c>
      <c r="V46">
        <v>111.2</v>
      </c>
      <c r="W46">
        <v>111.6</v>
      </c>
      <c r="X46">
        <v>112.5</v>
      </c>
      <c r="Y46" t="e">
        <v>#N/A</v>
      </c>
    </row>
    <row r="47" spans="1:25">
      <c r="A47" s="1">
        <f t="shared" si="0"/>
        <v>43221</v>
      </c>
      <c r="B47">
        <v>108.8</v>
      </c>
      <c r="C47">
        <v>112.4</v>
      </c>
      <c r="D47">
        <v>109.1</v>
      </c>
      <c r="E47">
        <v>107.7</v>
      </c>
      <c r="F47">
        <v>110.9</v>
      </c>
      <c r="G47">
        <v>109.9</v>
      </c>
      <c r="H47">
        <v>109.6</v>
      </c>
      <c r="I47">
        <v>111.2</v>
      </c>
      <c r="J47">
        <v>108</v>
      </c>
      <c r="K47">
        <v>106.7</v>
      </c>
      <c r="L47">
        <v>107</v>
      </c>
      <c r="M47">
        <v>103.5</v>
      </c>
      <c r="N47">
        <v>111.5</v>
      </c>
      <c r="O47">
        <v>110.3</v>
      </c>
      <c r="P47" t="e">
        <v>#N/A</v>
      </c>
      <c r="Q47" t="e">
        <v>#N/A</v>
      </c>
      <c r="R47" s="188">
        <v>109.1</v>
      </c>
      <c r="S47">
        <v>104.2</v>
      </c>
      <c r="T47">
        <v>110</v>
      </c>
      <c r="U47">
        <v>107.7</v>
      </c>
      <c r="V47">
        <v>111.2</v>
      </c>
      <c r="W47">
        <v>112.1</v>
      </c>
      <c r="X47">
        <v>112.2</v>
      </c>
      <c r="Y47" t="e">
        <v>#N/A</v>
      </c>
    </row>
    <row r="48" spans="1:25">
      <c r="A48" s="1">
        <f t="shared" si="0"/>
        <v>43252</v>
      </c>
      <c r="B48">
        <v>109.6</v>
      </c>
      <c r="C48">
        <v>112.2</v>
      </c>
      <c r="D48">
        <v>108.9</v>
      </c>
      <c r="E48">
        <v>107.8</v>
      </c>
      <c r="F48">
        <v>110.6</v>
      </c>
      <c r="G48">
        <v>109.8</v>
      </c>
      <c r="H48">
        <v>109.5</v>
      </c>
      <c r="I48">
        <v>113.4</v>
      </c>
      <c r="J48">
        <v>108</v>
      </c>
      <c r="K48">
        <v>106.5</v>
      </c>
      <c r="L48">
        <v>108.5</v>
      </c>
      <c r="M48">
        <v>108.3</v>
      </c>
      <c r="N48">
        <v>111.6</v>
      </c>
      <c r="O48">
        <v>110.9</v>
      </c>
      <c r="P48" t="e">
        <v>#N/A</v>
      </c>
      <c r="Q48" t="e">
        <v>#N/A</v>
      </c>
      <c r="R48" s="188">
        <v>109.1</v>
      </c>
      <c r="S48">
        <v>104.6</v>
      </c>
      <c r="T48">
        <v>110</v>
      </c>
      <c r="U48">
        <v>108.7</v>
      </c>
      <c r="V48">
        <v>111.8</v>
      </c>
      <c r="W48">
        <v>112.5</v>
      </c>
      <c r="X48">
        <v>112.1</v>
      </c>
      <c r="Y48" t="e">
        <v>#N/A</v>
      </c>
    </row>
    <row r="49" spans="1:25">
      <c r="A49" s="1">
        <f t="shared" si="0"/>
        <v>43282</v>
      </c>
      <c r="B49">
        <v>109.8</v>
      </c>
      <c r="C49">
        <v>112.1</v>
      </c>
      <c r="D49">
        <v>109.1</v>
      </c>
      <c r="E49">
        <v>107.5</v>
      </c>
      <c r="F49">
        <v>110.6</v>
      </c>
      <c r="G49">
        <v>109.9</v>
      </c>
      <c r="H49">
        <v>109.7</v>
      </c>
      <c r="I49">
        <v>114</v>
      </c>
      <c r="J49">
        <v>108.1</v>
      </c>
      <c r="K49">
        <v>106.3</v>
      </c>
      <c r="L49">
        <v>108.8</v>
      </c>
      <c r="M49">
        <v>109</v>
      </c>
      <c r="N49">
        <v>111.6</v>
      </c>
      <c r="O49">
        <v>111.1</v>
      </c>
      <c r="P49" t="e">
        <v>#N/A</v>
      </c>
      <c r="Q49" t="e">
        <v>#N/A</v>
      </c>
      <c r="R49" s="188">
        <v>109.2</v>
      </c>
      <c r="S49">
        <v>104.9</v>
      </c>
      <c r="T49">
        <v>110.2</v>
      </c>
      <c r="U49">
        <v>108.9</v>
      </c>
      <c r="V49">
        <v>111.8</v>
      </c>
      <c r="W49">
        <v>112.5</v>
      </c>
      <c r="X49">
        <v>113.2</v>
      </c>
      <c r="Y49" t="e">
        <v>#N/A</v>
      </c>
    </row>
    <row r="50" spans="1:25">
      <c r="A50" s="1">
        <f t="shared" si="0"/>
        <v>43313</v>
      </c>
      <c r="B50">
        <v>110.2</v>
      </c>
      <c r="C50">
        <v>112.6</v>
      </c>
      <c r="D50">
        <v>109.3</v>
      </c>
      <c r="E50">
        <v>107.8</v>
      </c>
      <c r="F50">
        <v>111</v>
      </c>
      <c r="G50">
        <v>110.3</v>
      </c>
      <c r="H50">
        <v>110</v>
      </c>
      <c r="I50">
        <v>113.8</v>
      </c>
      <c r="J50">
        <v>108.3</v>
      </c>
      <c r="K50">
        <v>107.2</v>
      </c>
      <c r="L50">
        <v>109.3</v>
      </c>
      <c r="M50">
        <v>109.8</v>
      </c>
      <c r="N50">
        <v>111.7</v>
      </c>
      <c r="O50">
        <v>111.4</v>
      </c>
      <c r="P50" t="e">
        <v>#N/A</v>
      </c>
      <c r="Q50" t="e">
        <v>#N/A</v>
      </c>
      <c r="R50" s="188">
        <v>109.4</v>
      </c>
      <c r="S50">
        <v>105.1</v>
      </c>
      <c r="T50">
        <v>110.5</v>
      </c>
      <c r="U50">
        <v>109.1</v>
      </c>
      <c r="V50">
        <v>112</v>
      </c>
      <c r="W50">
        <v>112.8</v>
      </c>
      <c r="X50">
        <v>112.7</v>
      </c>
      <c r="Y50" t="e">
        <v>#N/A</v>
      </c>
    </row>
    <row r="51" spans="1:25">
      <c r="A51" s="1">
        <f t="shared" si="0"/>
        <v>43344</v>
      </c>
      <c r="B51">
        <v>110.4</v>
      </c>
      <c r="C51">
        <v>112.9</v>
      </c>
      <c r="D51">
        <v>109.6</v>
      </c>
      <c r="E51">
        <v>108</v>
      </c>
      <c r="F51">
        <v>111.3</v>
      </c>
      <c r="G51">
        <v>110.4</v>
      </c>
      <c r="H51">
        <v>110.1</v>
      </c>
      <c r="I51">
        <v>114.1</v>
      </c>
      <c r="J51">
        <v>108.6</v>
      </c>
      <c r="K51">
        <v>107.4</v>
      </c>
      <c r="L51">
        <v>109.4</v>
      </c>
      <c r="M51">
        <v>110.1</v>
      </c>
      <c r="N51">
        <v>111.9</v>
      </c>
      <c r="O51">
        <v>111.3</v>
      </c>
      <c r="P51" t="e">
        <v>#N/A</v>
      </c>
      <c r="Q51" t="e">
        <v>#N/A</v>
      </c>
      <c r="R51" s="188">
        <v>109.7</v>
      </c>
      <c r="S51">
        <v>105.4</v>
      </c>
      <c r="T51">
        <v>110.3</v>
      </c>
      <c r="U51">
        <v>109.3</v>
      </c>
      <c r="V51">
        <v>112.2</v>
      </c>
      <c r="W51">
        <v>113.2</v>
      </c>
      <c r="X51">
        <v>113.9</v>
      </c>
      <c r="Y51" t="e">
        <v>#N/A</v>
      </c>
    </row>
    <row r="52" spans="1:25">
      <c r="A52" s="1">
        <f t="shared" si="0"/>
        <v>43374</v>
      </c>
      <c r="B52">
        <v>110.9</v>
      </c>
      <c r="C52">
        <v>113</v>
      </c>
      <c r="D52">
        <v>109.9</v>
      </c>
      <c r="E52">
        <v>108.1</v>
      </c>
      <c r="F52">
        <v>111.6</v>
      </c>
      <c r="G52">
        <v>110.7</v>
      </c>
      <c r="H52">
        <v>110.4</v>
      </c>
      <c r="I52">
        <v>115.9</v>
      </c>
      <c r="J52">
        <v>109</v>
      </c>
      <c r="K52">
        <v>107.4</v>
      </c>
      <c r="L52">
        <v>110.2</v>
      </c>
      <c r="M52">
        <v>111.7</v>
      </c>
      <c r="N52">
        <v>112</v>
      </c>
      <c r="O52">
        <v>111.8</v>
      </c>
      <c r="P52" t="e">
        <v>#N/A</v>
      </c>
      <c r="Q52" t="e">
        <v>#N/A</v>
      </c>
      <c r="R52" s="188">
        <v>109.9</v>
      </c>
      <c r="S52">
        <v>104.9</v>
      </c>
      <c r="T52">
        <v>110.6</v>
      </c>
      <c r="U52">
        <v>108.4</v>
      </c>
      <c r="V52">
        <v>112.4</v>
      </c>
      <c r="W52">
        <v>113.5</v>
      </c>
      <c r="X52">
        <v>113.8</v>
      </c>
      <c r="Y52" t="e">
        <v>#N/A</v>
      </c>
    </row>
    <row r="53" spans="1:25">
      <c r="A53" s="1">
        <f t="shared" si="0"/>
        <v>43405</v>
      </c>
      <c r="B53">
        <v>111.1</v>
      </c>
      <c r="C53">
        <v>113.1</v>
      </c>
      <c r="D53">
        <v>109.4</v>
      </c>
      <c r="E53">
        <v>107.8</v>
      </c>
      <c r="F53">
        <v>111.1</v>
      </c>
      <c r="G53">
        <v>110.5</v>
      </c>
      <c r="H53">
        <v>110.2</v>
      </c>
      <c r="I53">
        <v>113.4</v>
      </c>
      <c r="J53">
        <v>108.5</v>
      </c>
      <c r="K53">
        <v>107.2</v>
      </c>
      <c r="L53">
        <v>110.7</v>
      </c>
      <c r="M53">
        <v>113.7</v>
      </c>
      <c r="N53">
        <v>112</v>
      </c>
      <c r="O53">
        <v>112.3</v>
      </c>
      <c r="P53" t="e">
        <v>#N/A</v>
      </c>
      <c r="Q53" t="e">
        <v>#N/A</v>
      </c>
      <c r="R53" s="188">
        <v>109.8</v>
      </c>
      <c r="S53">
        <v>105</v>
      </c>
      <c r="T53">
        <v>110.6</v>
      </c>
      <c r="U53">
        <v>108.7</v>
      </c>
      <c r="V53">
        <v>112.4</v>
      </c>
      <c r="W53">
        <v>113.7</v>
      </c>
      <c r="X53">
        <v>114</v>
      </c>
      <c r="Y53" t="e">
        <v>#N/A</v>
      </c>
    </row>
    <row r="54" spans="1:25">
      <c r="A54" s="1">
        <f t="shared" si="0"/>
        <v>43435</v>
      </c>
      <c r="B54">
        <v>110</v>
      </c>
      <c r="C54">
        <v>113.2</v>
      </c>
      <c r="D54">
        <v>108.9</v>
      </c>
      <c r="E54">
        <v>107.6</v>
      </c>
      <c r="F54">
        <v>110.9</v>
      </c>
      <c r="G54">
        <v>110.5</v>
      </c>
      <c r="H54">
        <v>110.2</v>
      </c>
      <c r="I54">
        <v>110.7</v>
      </c>
      <c r="J54">
        <v>107.7</v>
      </c>
      <c r="K54">
        <v>107.3</v>
      </c>
      <c r="L54">
        <v>108.9</v>
      </c>
      <c r="M54">
        <v>108.9</v>
      </c>
      <c r="N54">
        <v>111.7</v>
      </c>
      <c r="O54">
        <v>111.6</v>
      </c>
      <c r="P54" t="e">
        <v>#N/A</v>
      </c>
      <c r="Q54" t="e">
        <v>#N/A</v>
      </c>
      <c r="R54" s="188">
        <v>109.7</v>
      </c>
      <c r="S54">
        <v>104.1</v>
      </c>
      <c r="T54">
        <v>110.4</v>
      </c>
      <c r="U54">
        <v>107.1</v>
      </c>
      <c r="V54">
        <v>112.4</v>
      </c>
      <c r="W54">
        <v>113.4</v>
      </c>
      <c r="X54">
        <v>113.9</v>
      </c>
      <c r="Y54" t="e">
        <v>#N/A</v>
      </c>
    </row>
    <row r="55" spans="1:25">
      <c r="A55" s="1">
        <f t="shared" si="0"/>
        <v>43466</v>
      </c>
      <c r="B55">
        <v>109.7</v>
      </c>
      <c r="C55">
        <v>113.5</v>
      </c>
      <c r="D55">
        <v>109.6</v>
      </c>
      <c r="E55">
        <v>107.6</v>
      </c>
      <c r="F55">
        <v>111.2</v>
      </c>
      <c r="G55">
        <v>110.9</v>
      </c>
      <c r="H55">
        <v>110.7</v>
      </c>
      <c r="I55">
        <v>111.2</v>
      </c>
      <c r="J55">
        <v>108.1</v>
      </c>
      <c r="K55">
        <v>107.2</v>
      </c>
      <c r="L55">
        <v>107.9</v>
      </c>
      <c r="M55">
        <v>105.1</v>
      </c>
      <c r="N55">
        <v>112.2</v>
      </c>
      <c r="O55">
        <v>110.9</v>
      </c>
      <c r="P55" t="e">
        <v>#N/A</v>
      </c>
      <c r="Q55" t="e">
        <v>#N/A</v>
      </c>
      <c r="R55" s="188">
        <v>110</v>
      </c>
      <c r="S55">
        <v>104.7</v>
      </c>
      <c r="T55">
        <v>110.7</v>
      </c>
      <c r="U55">
        <v>108.4</v>
      </c>
      <c r="V55">
        <v>112.8</v>
      </c>
      <c r="W55">
        <v>113.5</v>
      </c>
      <c r="X55">
        <v>113.1</v>
      </c>
      <c r="Y55" t="e">
        <v>#N/A</v>
      </c>
    </row>
    <row r="56" spans="1:25">
      <c r="A56" s="1">
        <f t="shared" si="0"/>
        <v>43497</v>
      </c>
      <c r="B56">
        <v>110.3</v>
      </c>
      <c r="C56">
        <v>113.6</v>
      </c>
      <c r="D56">
        <v>110</v>
      </c>
      <c r="E56">
        <v>108.1</v>
      </c>
      <c r="F56">
        <v>111.4</v>
      </c>
      <c r="G56">
        <v>111.3</v>
      </c>
      <c r="H56">
        <v>111.2</v>
      </c>
      <c r="I56">
        <v>113.4</v>
      </c>
      <c r="J56">
        <v>108.6</v>
      </c>
      <c r="K56">
        <v>106.3</v>
      </c>
      <c r="L56">
        <v>108.8</v>
      </c>
      <c r="M56">
        <v>106.9</v>
      </c>
      <c r="N56">
        <v>112.4</v>
      </c>
      <c r="O56">
        <v>111.3</v>
      </c>
      <c r="P56" t="e">
        <v>#N/A</v>
      </c>
      <c r="Q56" t="e">
        <v>#N/A</v>
      </c>
      <c r="R56" s="188">
        <v>110.1</v>
      </c>
      <c r="S56">
        <v>104.8</v>
      </c>
      <c r="T56">
        <v>111</v>
      </c>
      <c r="U56">
        <v>108.3</v>
      </c>
      <c r="V56">
        <v>112.7</v>
      </c>
      <c r="W56">
        <v>113.8</v>
      </c>
      <c r="X56">
        <v>113.3</v>
      </c>
      <c r="Y56" t="e">
        <v>#N/A</v>
      </c>
    </row>
    <row r="57" spans="1:25">
      <c r="A57" s="1">
        <f t="shared" si="0"/>
        <v>43525</v>
      </c>
      <c r="B57">
        <v>111.3</v>
      </c>
      <c r="C57">
        <v>114.1</v>
      </c>
      <c r="D57">
        <v>110.5</v>
      </c>
      <c r="E57">
        <v>108.5</v>
      </c>
      <c r="F57">
        <v>111.9</v>
      </c>
      <c r="G57">
        <v>111.8</v>
      </c>
      <c r="H57">
        <v>111.8</v>
      </c>
      <c r="I57">
        <v>114.4</v>
      </c>
      <c r="J57">
        <v>109.3</v>
      </c>
      <c r="K57">
        <v>106.8</v>
      </c>
      <c r="L57">
        <v>110.3</v>
      </c>
      <c r="M57">
        <v>110.4</v>
      </c>
      <c r="N57">
        <v>112.8</v>
      </c>
      <c r="O57">
        <v>112.1</v>
      </c>
      <c r="P57" t="e">
        <v>#N/A</v>
      </c>
      <c r="Q57" t="e">
        <v>#N/A</v>
      </c>
      <c r="R57" s="188">
        <v>110.7</v>
      </c>
      <c r="S57">
        <v>104.9</v>
      </c>
      <c r="T57">
        <v>111.4</v>
      </c>
      <c r="U57">
        <v>108.9</v>
      </c>
      <c r="V57">
        <v>113.4</v>
      </c>
      <c r="W57">
        <v>114</v>
      </c>
      <c r="X57">
        <v>113.2</v>
      </c>
      <c r="Y57" t="e">
        <v>#N/A</v>
      </c>
    </row>
    <row r="58" spans="1:25">
      <c r="A58" s="1">
        <f t="shared" si="0"/>
        <v>43556</v>
      </c>
      <c r="B58">
        <v>111.6</v>
      </c>
      <c r="C58">
        <v>114.1</v>
      </c>
      <c r="D58">
        <v>110.7</v>
      </c>
      <c r="E58">
        <v>108.6</v>
      </c>
      <c r="F58">
        <v>112</v>
      </c>
      <c r="G58">
        <v>111.6</v>
      </c>
      <c r="H58">
        <v>111.6</v>
      </c>
      <c r="I58">
        <v>114.9</v>
      </c>
      <c r="J58">
        <v>109.5</v>
      </c>
      <c r="K58">
        <v>106.9</v>
      </c>
      <c r="L58">
        <v>110.8</v>
      </c>
      <c r="M58">
        <v>111.5</v>
      </c>
      <c r="N58">
        <v>113.1</v>
      </c>
      <c r="O58">
        <v>112.2</v>
      </c>
      <c r="P58" t="e">
        <v>#N/A</v>
      </c>
      <c r="Q58" t="e">
        <v>#N/A</v>
      </c>
      <c r="R58" s="188">
        <v>110.8</v>
      </c>
      <c r="S58">
        <v>105.1</v>
      </c>
      <c r="T58">
        <v>111.8</v>
      </c>
      <c r="U58">
        <v>109.7</v>
      </c>
      <c r="V58">
        <v>114</v>
      </c>
      <c r="W58">
        <v>114.4</v>
      </c>
      <c r="X58">
        <v>112.3</v>
      </c>
      <c r="Y58" t="e">
        <v>#N/A</v>
      </c>
    </row>
    <row r="59" spans="1:25">
      <c r="A59" s="1">
        <f t="shared" si="0"/>
        <v>43586</v>
      </c>
      <c r="B59">
        <v>111.8</v>
      </c>
      <c r="C59">
        <v>114.1</v>
      </c>
      <c r="D59">
        <v>110.7</v>
      </c>
      <c r="E59">
        <v>108.6</v>
      </c>
      <c r="F59">
        <v>112.1</v>
      </c>
      <c r="G59">
        <v>111.6</v>
      </c>
      <c r="H59">
        <v>111.3</v>
      </c>
      <c r="I59">
        <v>114.3</v>
      </c>
      <c r="J59">
        <v>109.5</v>
      </c>
      <c r="K59">
        <v>106</v>
      </c>
      <c r="L59">
        <v>111.1</v>
      </c>
      <c r="M59">
        <v>112.5</v>
      </c>
      <c r="N59">
        <v>113.3</v>
      </c>
      <c r="O59">
        <v>112.9</v>
      </c>
      <c r="P59" t="e">
        <v>#N/A</v>
      </c>
      <c r="Q59" t="e">
        <v>#N/A</v>
      </c>
      <c r="R59" s="188">
        <v>110.8</v>
      </c>
      <c r="S59">
        <v>105.4</v>
      </c>
      <c r="T59">
        <v>111.8</v>
      </c>
      <c r="U59">
        <v>109.5</v>
      </c>
      <c r="V59">
        <v>114.3</v>
      </c>
      <c r="W59">
        <v>114.6</v>
      </c>
      <c r="X59">
        <v>111</v>
      </c>
      <c r="Y59" t="e">
        <v>#N/A</v>
      </c>
    </row>
    <row r="60" spans="1:25">
      <c r="A60" s="1">
        <f t="shared" si="0"/>
        <v>43617</v>
      </c>
      <c r="B60">
        <v>111.5</v>
      </c>
      <c r="C60">
        <v>114.3</v>
      </c>
      <c r="D60">
        <v>110.4</v>
      </c>
      <c r="E60">
        <v>108.2</v>
      </c>
      <c r="F60">
        <v>112</v>
      </c>
      <c r="G60">
        <v>111.7</v>
      </c>
      <c r="H60">
        <v>111.3</v>
      </c>
      <c r="I60">
        <v>112.7</v>
      </c>
      <c r="J60">
        <v>108.9</v>
      </c>
      <c r="K60">
        <v>105.1</v>
      </c>
      <c r="L60">
        <v>110.6</v>
      </c>
      <c r="M60">
        <v>111.2</v>
      </c>
      <c r="N60">
        <v>113.3</v>
      </c>
      <c r="O60">
        <v>112.7</v>
      </c>
      <c r="P60" t="e">
        <v>#N/A</v>
      </c>
      <c r="Q60" t="e">
        <v>#N/A</v>
      </c>
      <c r="R60" s="188">
        <v>110.8</v>
      </c>
      <c r="S60">
        <v>105.5</v>
      </c>
      <c r="T60">
        <v>111.9</v>
      </c>
      <c r="U60">
        <v>109.4</v>
      </c>
      <c r="V60">
        <v>114.4</v>
      </c>
      <c r="W60">
        <v>114.8</v>
      </c>
      <c r="X60">
        <v>110.9</v>
      </c>
      <c r="Y60" t="e">
        <v>#N/A</v>
      </c>
    </row>
    <row r="61" spans="1:25">
      <c r="A61" s="1">
        <f t="shared" si="0"/>
        <v>43647</v>
      </c>
      <c r="B61">
        <v>111.5</v>
      </c>
      <c r="C61">
        <v>114.5</v>
      </c>
      <c r="D61">
        <v>110.6</v>
      </c>
      <c r="E61">
        <v>108.4</v>
      </c>
      <c r="F61">
        <v>112</v>
      </c>
      <c r="G61">
        <v>111.9</v>
      </c>
      <c r="H61">
        <v>111.5</v>
      </c>
      <c r="I61">
        <v>114.2</v>
      </c>
      <c r="J61">
        <v>109.2</v>
      </c>
      <c r="K61">
        <v>104.9</v>
      </c>
      <c r="L61">
        <v>110.4</v>
      </c>
      <c r="M61">
        <v>110</v>
      </c>
      <c r="N61">
        <v>113.4</v>
      </c>
      <c r="O61">
        <v>112</v>
      </c>
      <c r="P61" t="e">
        <v>#N/A</v>
      </c>
      <c r="Q61" t="e">
        <v>#N/A</v>
      </c>
      <c r="R61" s="188">
        <v>111.2</v>
      </c>
      <c r="S61">
        <v>105.3</v>
      </c>
      <c r="T61">
        <v>112.1</v>
      </c>
      <c r="U61">
        <v>108.8</v>
      </c>
      <c r="V61">
        <v>114.4</v>
      </c>
      <c r="W61">
        <v>114.9</v>
      </c>
      <c r="X61">
        <v>113.5</v>
      </c>
      <c r="Y61" t="e">
        <v>#N/A</v>
      </c>
    </row>
    <row r="62" spans="1:25">
      <c r="A62" s="1">
        <f t="shared" si="0"/>
        <v>43678</v>
      </c>
      <c r="B62">
        <v>111.5</v>
      </c>
      <c r="C62">
        <v>114.7</v>
      </c>
      <c r="D62">
        <v>110.6</v>
      </c>
      <c r="E62">
        <v>108.2</v>
      </c>
      <c r="F62">
        <v>112.1</v>
      </c>
      <c r="G62">
        <v>112.3</v>
      </c>
      <c r="H62">
        <v>111.9</v>
      </c>
      <c r="I62">
        <v>110.9</v>
      </c>
      <c r="J62">
        <v>109.2</v>
      </c>
      <c r="K62">
        <v>105.4</v>
      </c>
      <c r="L62">
        <v>110.4</v>
      </c>
      <c r="M62">
        <v>109.9</v>
      </c>
      <c r="N62">
        <v>113.5</v>
      </c>
      <c r="O62">
        <v>111.5</v>
      </c>
      <c r="P62" t="e">
        <v>#N/A</v>
      </c>
      <c r="Q62" t="e">
        <v>#N/A</v>
      </c>
      <c r="R62" s="188">
        <v>111.3</v>
      </c>
      <c r="S62">
        <v>105.5</v>
      </c>
      <c r="T62">
        <v>112.1</v>
      </c>
      <c r="U62">
        <v>108.8</v>
      </c>
      <c r="V62">
        <v>114.5</v>
      </c>
      <c r="W62">
        <v>115</v>
      </c>
      <c r="X62">
        <v>109.7</v>
      </c>
      <c r="Y62" t="e">
        <v>#N/A</v>
      </c>
    </row>
    <row r="63" spans="1:25">
      <c r="A63" s="1">
        <f t="shared" si="0"/>
        <v>43709</v>
      </c>
      <c r="B63">
        <v>111.2</v>
      </c>
      <c r="C63">
        <v>114.6</v>
      </c>
      <c r="D63">
        <v>111</v>
      </c>
      <c r="E63">
        <v>108.4</v>
      </c>
      <c r="F63">
        <v>112.2</v>
      </c>
      <c r="G63">
        <v>112.1</v>
      </c>
      <c r="H63">
        <v>111.8</v>
      </c>
      <c r="I63">
        <v>113</v>
      </c>
      <c r="J63">
        <v>110</v>
      </c>
      <c r="K63">
        <v>104.4</v>
      </c>
      <c r="L63">
        <v>109.5</v>
      </c>
      <c r="M63">
        <v>107.3</v>
      </c>
      <c r="N63">
        <v>113.7</v>
      </c>
      <c r="O63">
        <v>111.8</v>
      </c>
      <c r="P63" t="e">
        <v>#N/A</v>
      </c>
      <c r="Q63" t="e">
        <v>#N/A</v>
      </c>
      <c r="R63" s="188">
        <v>111.3</v>
      </c>
      <c r="S63">
        <v>106</v>
      </c>
      <c r="T63">
        <v>112.2</v>
      </c>
      <c r="U63">
        <v>109.1</v>
      </c>
      <c r="V63">
        <v>114.7</v>
      </c>
      <c r="W63">
        <v>115.1</v>
      </c>
      <c r="X63">
        <v>111.9</v>
      </c>
      <c r="Y63" t="e">
        <v>#N/A</v>
      </c>
    </row>
    <row r="64" spans="1:25">
      <c r="A64" s="1">
        <f t="shared" si="0"/>
        <v>43739</v>
      </c>
      <c r="B64">
        <v>111.2</v>
      </c>
      <c r="C64">
        <v>114.2</v>
      </c>
      <c r="D64">
        <v>111</v>
      </c>
      <c r="E64">
        <v>108.8</v>
      </c>
      <c r="F64">
        <v>111.6</v>
      </c>
      <c r="G64">
        <v>111.7</v>
      </c>
      <c r="H64">
        <v>111.5</v>
      </c>
      <c r="I64">
        <v>110.6</v>
      </c>
      <c r="J64">
        <v>110</v>
      </c>
      <c r="K64">
        <v>102.8</v>
      </c>
      <c r="L64">
        <v>109.9</v>
      </c>
      <c r="M64">
        <v>108.2</v>
      </c>
      <c r="N64">
        <v>113.6</v>
      </c>
      <c r="O64">
        <v>111.5</v>
      </c>
      <c r="P64">
        <v>105.9</v>
      </c>
      <c r="Q64" t="e">
        <v>#N/A</v>
      </c>
      <c r="R64" s="188">
        <v>111.3</v>
      </c>
      <c r="S64">
        <v>106</v>
      </c>
      <c r="T64">
        <v>112.1</v>
      </c>
      <c r="U64">
        <v>108.9</v>
      </c>
      <c r="V64">
        <v>114.7</v>
      </c>
      <c r="W64">
        <v>115.2</v>
      </c>
      <c r="X64">
        <v>112.8</v>
      </c>
      <c r="Y64" t="e">
        <v>#N/A</v>
      </c>
    </row>
    <row r="65" spans="1:25">
      <c r="A65" s="1">
        <f t="shared" si="0"/>
        <v>43770</v>
      </c>
      <c r="B65">
        <v>110.5</v>
      </c>
      <c r="C65">
        <v>114.2</v>
      </c>
      <c r="D65">
        <v>110.9</v>
      </c>
      <c r="E65">
        <v>108.8</v>
      </c>
      <c r="F65">
        <v>111.4</v>
      </c>
      <c r="G65">
        <v>111.7</v>
      </c>
      <c r="H65">
        <v>111.6</v>
      </c>
      <c r="I65">
        <v>108.9</v>
      </c>
      <c r="J65">
        <v>109.8</v>
      </c>
      <c r="K65">
        <v>101.1</v>
      </c>
      <c r="L65">
        <v>108.6</v>
      </c>
      <c r="M65">
        <v>104.3</v>
      </c>
      <c r="N65">
        <v>113.6</v>
      </c>
      <c r="O65">
        <v>110.7</v>
      </c>
      <c r="P65">
        <v>106</v>
      </c>
      <c r="Q65" t="e">
        <v>#N/A</v>
      </c>
      <c r="R65" s="188">
        <v>111.2</v>
      </c>
      <c r="S65">
        <v>105.6</v>
      </c>
      <c r="T65">
        <v>112.4</v>
      </c>
      <c r="U65">
        <v>108.9</v>
      </c>
      <c r="V65">
        <v>114.6</v>
      </c>
      <c r="W65">
        <v>115.3</v>
      </c>
      <c r="X65">
        <v>112.8</v>
      </c>
      <c r="Y65" t="e">
        <v>#N/A</v>
      </c>
    </row>
    <row r="66" spans="1:25">
      <c r="A66" s="1">
        <f t="shared" si="0"/>
        <v>43800</v>
      </c>
      <c r="B66">
        <v>110.4</v>
      </c>
      <c r="C66">
        <v>114.3</v>
      </c>
      <c r="D66">
        <v>111</v>
      </c>
      <c r="E66">
        <v>109.3</v>
      </c>
      <c r="F66">
        <v>111.5</v>
      </c>
      <c r="G66">
        <v>111.8</v>
      </c>
      <c r="H66">
        <v>111.7</v>
      </c>
      <c r="I66">
        <v>108.3</v>
      </c>
      <c r="J66">
        <v>109.9</v>
      </c>
      <c r="K66">
        <v>99.3</v>
      </c>
      <c r="L66">
        <v>108.4</v>
      </c>
      <c r="M66">
        <v>103.2</v>
      </c>
      <c r="N66">
        <v>113.6</v>
      </c>
      <c r="O66">
        <v>110.6</v>
      </c>
      <c r="P66">
        <v>105.6</v>
      </c>
      <c r="Q66" t="e">
        <v>#N/A</v>
      </c>
      <c r="R66" s="188">
        <v>111.4</v>
      </c>
      <c r="S66">
        <v>105.7</v>
      </c>
      <c r="T66">
        <v>112.6</v>
      </c>
      <c r="U66">
        <v>108.7</v>
      </c>
      <c r="V66">
        <v>114.7</v>
      </c>
      <c r="W66">
        <v>115.2</v>
      </c>
      <c r="X66">
        <v>112.5</v>
      </c>
      <c r="Y66" t="e">
        <v>#N/A</v>
      </c>
    </row>
    <row r="67" spans="1:25">
      <c r="A67" s="1">
        <f t="shared" si="0"/>
        <v>43831</v>
      </c>
      <c r="B67">
        <v>111.4</v>
      </c>
      <c r="C67">
        <v>114.7</v>
      </c>
      <c r="D67">
        <v>111.3</v>
      </c>
      <c r="E67">
        <v>108.8</v>
      </c>
      <c r="F67">
        <v>111.9</v>
      </c>
      <c r="G67">
        <v>112.3</v>
      </c>
      <c r="H67">
        <v>112.3</v>
      </c>
      <c r="I67">
        <v>111.4</v>
      </c>
      <c r="J67">
        <v>109.9</v>
      </c>
      <c r="K67">
        <v>101.1</v>
      </c>
      <c r="L67">
        <v>110.1</v>
      </c>
      <c r="M67">
        <v>107.7</v>
      </c>
      <c r="N67">
        <v>114</v>
      </c>
      <c r="O67">
        <v>110.4</v>
      </c>
      <c r="P67">
        <v>105.7</v>
      </c>
      <c r="Q67" t="e">
        <v>#N/A</v>
      </c>
      <c r="R67" s="188">
        <v>111.5</v>
      </c>
      <c r="S67">
        <v>105.3</v>
      </c>
      <c r="T67">
        <v>112.9</v>
      </c>
      <c r="U67">
        <v>108.4</v>
      </c>
      <c r="V67">
        <v>114.8</v>
      </c>
      <c r="W67">
        <v>115.4</v>
      </c>
      <c r="X67">
        <v>112.4</v>
      </c>
      <c r="Y67" t="e">
        <v>#N/A</v>
      </c>
    </row>
    <row r="68" spans="1:25">
      <c r="A68" s="1">
        <f t="shared" si="0"/>
        <v>43862</v>
      </c>
      <c r="B68">
        <v>111.7</v>
      </c>
      <c r="C68">
        <v>114.8</v>
      </c>
      <c r="D68">
        <v>111.1</v>
      </c>
      <c r="E68">
        <v>108.7</v>
      </c>
      <c r="F68">
        <v>111.6</v>
      </c>
      <c r="G68">
        <v>112.1</v>
      </c>
      <c r="H68">
        <v>112.2</v>
      </c>
      <c r="I68">
        <v>110</v>
      </c>
      <c r="J68">
        <v>109.6</v>
      </c>
      <c r="K68">
        <v>100.6</v>
      </c>
      <c r="L68">
        <v>110.7</v>
      </c>
      <c r="M68">
        <v>109.5</v>
      </c>
      <c r="N68">
        <v>114.1</v>
      </c>
      <c r="O68">
        <v>110.4</v>
      </c>
      <c r="P68">
        <v>105.7</v>
      </c>
      <c r="Q68" t="e">
        <v>#N/A</v>
      </c>
      <c r="R68" s="188">
        <v>111.6</v>
      </c>
      <c r="S68">
        <v>105.1</v>
      </c>
      <c r="T68">
        <v>113</v>
      </c>
      <c r="U68">
        <v>108.3</v>
      </c>
      <c r="V68">
        <v>114.9</v>
      </c>
      <c r="W68">
        <v>115.5</v>
      </c>
      <c r="X68">
        <v>111.5</v>
      </c>
      <c r="Y68" t="e">
        <v>#N/A</v>
      </c>
    </row>
    <row r="69" spans="1:25">
      <c r="A69" s="1">
        <f t="shared" si="0"/>
        <v>43891</v>
      </c>
      <c r="B69">
        <v>110.8</v>
      </c>
      <c r="C69">
        <v>114.7</v>
      </c>
      <c r="D69">
        <v>110.2</v>
      </c>
      <c r="E69">
        <v>107.8</v>
      </c>
      <c r="F69">
        <v>111</v>
      </c>
      <c r="G69">
        <v>111.8</v>
      </c>
      <c r="H69">
        <v>111.9</v>
      </c>
      <c r="I69">
        <v>105.9</v>
      </c>
      <c r="J69">
        <v>108</v>
      </c>
      <c r="K69">
        <v>100.8</v>
      </c>
      <c r="L69">
        <v>109.3</v>
      </c>
      <c r="M69">
        <v>106.8</v>
      </c>
      <c r="N69">
        <v>113.6</v>
      </c>
      <c r="O69">
        <v>109.7</v>
      </c>
      <c r="P69">
        <v>105.6</v>
      </c>
      <c r="Q69" t="e">
        <v>#N/A</v>
      </c>
      <c r="R69" s="188">
        <v>111.3</v>
      </c>
      <c r="S69">
        <v>105</v>
      </c>
      <c r="T69">
        <v>112.6</v>
      </c>
      <c r="U69">
        <v>108.3</v>
      </c>
      <c r="V69">
        <v>114.7</v>
      </c>
      <c r="W69">
        <v>115.4</v>
      </c>
      <c r="X69">
        <v>112.9</v>
      </c>
      <c r="Y69" t="e">
        <v>#N/A</v>
      </c>
    </row>
    <row r="70" spans="1:25">
      <c r="A70" s="1">
        <f t="shared" ref="A70:A143" si="1">EDATE(A69,1)</f>
        <v>43922</v>
      </c>
      <c r="B70">
        <v>108.9</v>
      </c>
      <c r="C70">
        <v>114.4</v>
      </c>
      <c r="D70">
        <v>109.4</v>
      </c>
      <c r="E70">
        <v>107.4</v>
      </c>
      <c r="F70">
        <v>110.1</v>
      </c>
      <c r="G70">
        <v>111.3</v>
      </c>
      <c r="H70">
        <v>111.4</v>
      </c>
      <c r="I70">
        <v>103.3</v>
      </c>
      <c r="J70">
        <v>106.6</v>
      </c>
      <c r="K70">
        <v>99.6</v>
      </c>
      <c r="L70">
        <v>106</v>
      </c>
      <c r="M70">
        <v>98.3</v>
      </c>
      <c r="N70">
        <v>113.4</v>
      </c>
      <c r="O70">
        <v>108.2</v>
      </c>
      <c r="P70">
        <v>105.4</v>
      </c>
      <c r="Q70" t="e">
        <v>#N/A</v>
      </c>
      <c r="R70" s="188">
        <v>111</v>
      </c>
      <c r="S70">
        <v>104.3</v>
      </c>
      <c r="T70">
        <v>112.1</v>
      </c>
      <c r="U70">
        <v>107.8</v>
      </c>
      <c r="V70">
        <v>114.3</v>
      </c>
      <c r="W70">
        <v>115.1</v>
      </c>
      <c r="X70">
        <v>110.6</v>
      </c>
      <c r="Y70" t="e">
        <v>#N/A</v>
      </c>
    </row>
    <row r="71" spans="1:25">
      <c r="A71" s="1">
        <f t="shared" si="1"/>
        <v>43952</v>
      </c>
      <c r="B71">
        <v>108.7</v>
      </c>
      <c r="C71">
        <v>114.2</v>
      </c>
      <c r="D71">
        <v>109.5</v>
      </c>
      <c r="E71">
        <v>107.4</v>
      </c>
      <c r="F71">
        <v>110.3</v>
      </c>
      <c r="G71">
        <v>111.4</v>
      </c>
      <c r="H71">
        <v>111.2</v>
      </c>
      <c r="I71">
        <v>103.7</v>
      </c>
      <c r="J71">
        <v>106.6</v>
      </c>
      <c r="K71">
        <v>100.5</v>
      </c>
      <c r="L71">
        <v>105.8</v>
      </c>
      <c r="M71">
        <v>97.8</v>
      </c>
      <c r="N71">
        <v>113.3</v>
      </c>
      <c r="O71">
        <v>106.1</v>
      </c>
      <c r="P71">
        <v>105.5</v>
      </c>
      <c r="Q71" t="e">
        <v>#N/A</v>
      </c>
      <c r="R71" s="188">
        <v>110.9</v>
      </c>
      <c r="S71">
        <v>104.7</v>
      </c>
      <c r="T71">
        <v>111.9</v>
      </c>
      <c r="U71">
        <v>107.5</v>
      </c>
      <c r="V71">
        <v>113.9</v>
      </c>
      <c r="W71">
        <v>114.9</v>
      </c>
      <c r="X71">
        <v>109.8</v>
      </c>
      <c r="Y71" t="e">
        <v>#N/A</v>
      </c>
    </row>
    <row r="72" spans="1:25">
      <c r="A72" s="1">
        <f t="shared" si="1"/>
        <v>43983</v>
      </c>
      <c r="B72">
        <v>108.8</v>
      </c>
      <c r="C72">
        <v>113.7</v>
      </c>
      <c r="D72">
        <v>108.8</v>
      </c>
      <c r="E72">
        <v>107.3</v>
      </c>
      <c r="F72">
        <v>110</v>
      </c>
      <c r="G72">
        <v>111.1</v>
      </c>
      <c r="H72">
        <v>110.7</v>
      </c>
      <c r="I72">
        <v>105.5</v>
      </c>
      <c r="J72">
        <v>106.2</v>
      </c>
      <c r="K72">
        <v>99.6</v>
      </c>
      <c r="L72">
        <v>106.3</v>
      </c>
      <c r="M72">
        <v>100.9</v>
      </c>
      <c r="N72">
        <v>112.4</v>
      </c>
      <c r="O72">
        <v>106.2</v>
      </c>
      <c r="P72">
        <v>104.6</v>
      </c>
      <c r="Q72" t="e">
        <v>#N/A</v>
      </c>
      <c r="R72" s="188">
        <v>110.3</v>
      </c>
      <c r="S72">
        <v>104.5</v>
      </c>
      <c r="T72">
        <v>111.5</v>
      </c>
      <c r="U72">
        <v>107.6</v>
      </c>
      <c r="V72">
        <v>114</v>
      </c>
      <c r="W72">
        <v>114.8</v>
      </c>
      <c r="X72">
        <v>108.8</v>
      </c>
      <c r="Y72" t="e">
        <v>#N/A</v>
      </c>
    </row>
    <row r="73" spans="1:25">
      <c r="A73" s="1">
        <f t="shared" si="1"/>
        <v>44013</v>
      </c>
      <c r="B73">
        <v>109.9</v>
      </c>
      <c r="C73">
        <v>113.7</v>
      </c>
      <c r="D73">
        <v>108.9</v>
      </c>
      <c r="E73">
        <v>107.3</v>
      </c>
      <c r="F73">
        <v>110</v>
      </c>
      <c r="G73">
        <v>111.2</v>
      </c>
      <c r="H73">
        <v>110.7</v>
      </c>
      <c r="I73">
        <v>106</v>
      </c>
      <c r="J73">
        <v>106.3</v>
      </c>
      <c r="K73">
        <v>99.5</v>
      </c>
      <c r="L73">
        <v>108.4</v>
      </c>
      <c r="M73">
        <v>106.6</v>
      </c>
      <c r="N73">
        <v>112.6</v>
      </c>
      <c r="O73">
        <v>107.3</v>
      </c>
      <c r="P73">
        <v>104.7</v>
      </c>
      <c r="Q73" t="e">
        <v>#N/A</v>
      </c>
      <c r="R73" s="188">
        <v>110.3</v>
      </c>
      <c r="S73">
        <v>104</v>
      </c>
      <c r="T73">
        <v>111.8</v>
      </c>
      <c r="U73">
        <v>108</v>
      </c>
      <c r="V73">
        <v>114.4</v>
      </c>
      <c r="W73">
        <v>115.1</v>
      </c>
      <c r="X73">
        <v>108.5</v>
      </c>
      <c r="Y73" t="e">
        <v>#N/A</v>
      </c>
    </row>
    <row r="74" spans="1:25">
      <c r="A74" s="1">
        <f t="shared" si="1"/>
        <v>44044</v>
      </c>
      <c r="B74">
        <v>110</v>
      </c>
      <c r="C74">
        <v>113.8</v>
      </c>
      <c r="D74">
        <v>109.1</v>
      </c>
      <c r="E74">
        <v>107.6</v>
      </c>
      <c r="F74">
        <v>110</v>
      </c>
      <c r="G74">
        <v>111.3</v>
      </c>
      <c r="H74">
        <v>110.8</v>
      </c>
      <c r="I74">
        <v>106.4</v>
      </c>
      <c r="J74">
        <v>106.4</v>
      </c>
      <c r="K74">
        <v>100.5</v>
      </c>
      <c r="L74">
        <v>108.3</v>
      </c>
      <c r="M74">
        <v>106.3</v>
      </c>
      <c r="N74">
        <v>112.7</v>
      </c>
      <c r="O74">
        <v>107.6</v>
      </c>
      <c r="P74">
        <v>104.5</v>
      </c>
      <c r="Q74" t="e">
        <v>#N/A</v>
      </c>
      <c r="R74" s="188">
        <v>110.4</v>
      </c>
      <c r="S74">
        <v>103.7</v>
      </c>
      <c r="T74">
        <v>112.2</v>
      </c>
      <c r="U74">
        <v>107.9</v>
      </c>
      <c r="V74">
        <v>114.5</v>
      </c>
      <c r="W74">
        <v>115.4</v>
      </c>
      <c r="X74">
        <v>110.2</v>
      </c>
      <c r="Y74" t="e">
        <v>#N/A</v>
      </c>
    </row>
    <row r="75" spans="1:25">
      <c r="A75" s="1">
        <f t="shared" si="1"/>
        <v>44075</v>
      </c>
      <c r="B75">
        <v>110.1</v>
      </c>
      <c r="C75">
        <v>114.4</v>
      </c>
      <c r="D75">
        <v>109.2</v>
      </c>
      <c r="E75">
        <v>107.4</v>
      </c>
      <c r="F75">
        <v>110.5</v>
      </c>
      <c r="G75">
        <v>111.9</v>
      </c>
      <c r="H75">
        <v>111.5</v>
      </c>
      <c r="I75">
        <v>106.5</v>
      </c>
      <c r="J75">
        <v>106.7</v>
      </c>
      <c r="K75">
        <v>100.1</v>
      </c>
      <c r="L75">
        <v>108.2</v>
      </c>
      <c r="M75">
        <v>105.6</v>
      </c>
      <c r="N75">
        <v>113.2</v>
      </c>
      <c r="O75">
        <v>107.9</v>
      </c>
      <c r="P75">
        <v>105.1</v>
      </c>
      <c r="Q75" t="e">
        <v>#N/A</v>
      </c>
      <c r="R75" s="188">
        <v>110.8</v>
      </c>
      <c r="S75">
        <v>104.4</v>
      </c>
      <c r="T75">
        <v>112.1</v>
      </c>
      <c r="U75">
        <v>108</v>
      </c>
      <c r="V75">
        <v>114.6</v>
      </c>
      <c r="W75">
        <v>115.5</v>
      </c>
      <c r="X75">
        <v>110.8</v>
      </c>
      <c r="Y75" t="e">
        <v>#N/A</v>
      </c>
    </row>
    <row r="76" spans="1:25">
      <c r="A76" s="1">
        <f t="shared" si="1"/>
        <v>44105</v>
      </c>
      <c r="B76">
        <v>109.5</v>
      </c>
      <c r="C76">
        <v>114.4</v>
      </c>
      <c r="D76">
        <v>109.1</v>
      </c>
      <c r="E76">
        <v>107.3</v>
      </c>
      <c r="F76">
        <v>110.4</v>
      </c>
      <c r="G76">
        <v>111.7</v>
      </c>
      <c r="H76">
        <v>111.3</v>
      </c>
      <c r="I76">
        <v>106.8</v>
      </c>
      <c r="J76">
        <v>106.6</v>
      </c>
      <c r="K76">
        <v>100.3</v>
      </c>
      <c r="L76">
        <v>107.2</v>
      </c>
      <c r="M76">
        <v>103.1</v>
      </c>
      <c r="N76">
        <v>112.9</v>
      </c>
      <c r="O76">
        <v>107.9</v>
      </c>
      <c r="P76">
        <v>105.3</v>
      </c>
      <c r="Q76" t="e">
        <v>#N/A</v>
      </c>
      <c r="R76" s="188">
        <v>110.5</v>
      </c>
      <c r="S76">
        <v>104.4</v>
      </c>
      <c r="T76">
        <v>111.9</v>
      </c>
      <c r="U76">
        <v>108.4</v>
      </c>
      <c r="V76">
        <v>114.4</v>
      </c>
      <c r="W76">
        <v>115.3</v>
      </c>
      <c r="X76">
        <v>110.5</v>
      </c>
      <c r="Y76" t="e">
        <v>#N/A</v>
      </c>
    </row>
    <row r="77" spans="1:25">
      <c r="A77" s="1">
        <f t="shared" si="1"/>
        <v>44136</v>
      </c>
      <c r="B77">
        <v>109.5</v>
      </c>
      <c r="C77">
        <v>114.5</v>
      </c>
      <c r="D77">
        <v>109.3</v>
      </c>
      <c r="E77">
        <v>107.8</v>
      </c>
      <c r="F77">
        <v>110.8</v>
      </c>
      <c r="G77">
        <v>111.9</v>
      </c>
      <c r="H77">
        <v>111.6</v>
      </c>
      <c r="I77">
        <v>107.7</v>
      </c>
      <c r="J77">
        <v>107</v>
      </c>
      <c r="K77">
        <v>100.7</v>
      </c>
      <c r="L77">
        <v>106.9</v>
      </c>
      <c r="M77">
        <v>102.1</v>
      </c>
      <c r="N77">
        <v>113</v>
      </c>
      <c r="O77">
        <v>108.7</v>
      </c>
      <c r="P77">
        <v>105.3</v>
      </c>
      <c r="Q77" t="e">
        <v>#N/A</v>
      </c>
      <c r="R77" s="188">
        <v>110.4</v>
      </c>
      <c r="S77">
        <v>104.3</v>
      </c>
      <c r="T77">
        <v>112</v>
      </c>
      <c r="U77">
        <v>108.5</v>
      </c>
      <c r="V77">
        <v>114.5</v>
      </c>
      <c r="W77">
        <v>115.3</v>
      </c>
      <c r="X77">
        <v>110.3</v>
      </c>
      <c r="Y77" t="e">
        <v>#N/A</v>
      </c>
    </row>
    <row r="78" spans="1:25">
      <c r="A78" s="1">
        <f t="shared" si="1"/>
        <v>44166</v>
      </c>
      <c r="B78">
        <v>109.8</v>
      </c>
      <c r="C78">
        <v>114.9</v>
      </c>
      <c r="D78">
        <v>109.5</v>
      </c>
      <c r="E78">
        <v>108.1</v>
      </c>
      <c r="F78">
        <v>111.2</v>
      </c>
      <c r="G78">
        <v>112.1</v>
      </c>
      <c r="H78">
        <v>112</v>
      </c>
      <c r="I78">
        <v>108.5</v>
      </c>
      <c r="J78">
        <v>107.4</v>
      </c>
      <c r="K78">
        <v>101.6</v>
      </c>
      <c r="L78">
        <v>107.4</v>
      </c>
      <c r="M78">
        <v>102.9</v>
      </c>
      <c r="N78">
        <v>113.2</v>
      </c>
      <c r="O78">
        <v>109.9</v>
      </c>
      <c r="P78">
        <v>105.6</v>
      </c>
      <c r="Q78" t="e">
        <v>#N/A</v>
      </c>
      <c r="R78" s="188">
        <v>110.6</v>
      </c>
      <c r="S78">
        <v>104.6</v>
      </c>
      <c r="T78">
        <v>112.2</v>
      </c>
      <c r="U78">
        <v>108.8</v>
      </c>
      <c r="V78">
        <v>114.6</v>
      </c>
      <c r="W78">
        <v>115.4</v>
      </c>
      <c r="X78">
        <v>111.1</v>
      </c>
      <c r="Y78" t="e">
        <v>#N/A</v>
      </c>
    </row>
    <row r="79" spans="1:25">
      <c r="A79" s="1">
        <f t="shared" si="1"/>
        <v>44197</v>
      </c>
      <c r="B79">
        <v>111.2</v>
      </c>
      <c r="C79">
        <v>116.3</v>
      </c>
      <c r="D79">
        <v>110.7</v>
      </c>
      <c r="E79">
        <v>107.7</v>
      </c>
      <c r="F79">
        <v>113.5</v>
      </c>
      <c r="G79">
        <v>113.6</v>
      </c>
      <c r="H79">
        <v>113.6</v>
      </c>
      <c r="I79">
        <v>109.4</v>
      </c>
      <c r="J79">
        <v>108</v>
      </c>
      <c r="K79">
        <v>106.1</v>
      </c>
      <c r="L79">
        <v>109</v>
      </c>
      <c r="M79">
        <v>105.5</v>
      </c>
      <c r="N79">
        <v>114.2</v>
      </c>
      <c r="O79">
        <v>111.5</v>
      </c>
      <c r="P79">
        <v>106.4</v>
      </c>
      <c r="Q79" t="e">
        <v>#N/A</v>
      </c>
      <c r="R79" s="188">
        <v>111.4</v>
      </c>
      <c r="S79">
        <v>105.4</v>
      </c>
      <c r="T79">
        <v>112.9</v>
      </c>
      <c r="U79">
        <v>108.9</v>
      </c>
      <c r="V79">
        <v>114.6</v>
      </c>
      <c r="W79">
        <v>115.6</v>
      </c>
      <c r="X79">
        <v>114.7</v>
      </c>
      <c r="Y79" t="e">
        <v>#N/A</v>
      </c>
    </row>
    <row r="80" spans="1:25">
      <c r="A80" s="1">
        <f t="shared" si="1"/>
        <v>44228</v>
      </c>
      <c r="B80">
        <v>112.1</v>
      </c>
      <c r="C80">
        <v>117.2</v>
      </c>
      <c r="D80">
        <v>111.2</v>
      </c>
      <c r="E80">
        <v>108.2</v>
      </c>
      <c r="F80">
        <v>114.6</v>
      </c>
      <c r="G80">
        <v>114.5</v>
      </c>
      <c r="H80">
        <v>114.4</v>
      </c>
      <c r="I80">
        <v>111.6</v>
      </c>
      <c r="J80">
        <v>108.8</v>
      </c>
      <c r="K80">
        <v>110.6</v>
      </c>
      <c r="L80">
        <v>110.2</v>
      </c>
      <c r="M80">
        <v>107.8</v>
      </c>
      <c r="N80">
        <v>114.4</v>
      </c>
      <c r="O80">
        <v>113.3</v>
      </c>
      <c r="P80">
        <v>107.3</v>
      </c>
      <c r="Q80" t="e">
        <v>#N/A</v>
      </c>
      <c r="R80" s="188">
        <v>111.8</v>
      </c>
      <c r="S80">
        <v>106.4</v>
      </c>
      <c r="T80">
        <v>113.2</v>
      </c>
      <c r="U80">
        <v>110.1</v>
      </c>
      <c r="V80">
        <v>114.8</v>
      </c>
      <c r="W80">
        <v>115.7</v>
      </c>
      <c r="X80">
        <v>117.5</v>
      </c>
      <c r="Y80" t="e">
        <v>#N/A</v>
      </c>
    </row>
    <row r="81" spans="1:26">
      <c r="A81" s="1">
        <f t="shared" si="1"/>
        <v>44256</v>
      </c>
      <c r="B81">
        <v>113.5</v>
      </c>
      <c r="C81">
        <v>118.3</v>
      </c>
      <c r="D81">
        <v>112.4</v>
      </c>
      <c r="E81">
        <v>109.4</v>
      </c>
      <c r="F81">
        <v>115.9</v>
      </c>
      <c r="G81">
        <v>115.4</v>
      </c>
      <c r="H81">
        <v>115.6</v>
      </c>
      <c r="I81">
        <v>114</v>
      </c>
      <c r="J81">
        <v>110.5</v>
      </c>
      <c r="K81">
        <v>114</v>
      </c>
      <c r="L81">
        <v>111.8</v>
      </c>
      <c r="M81">
        <v>110.9</v>
      </c>
      <c r="N81">
        <v>115.7</v>
      </c>
      <c r="O81">
        <v>118.1</v>
      </c>
      <c r="P81">
        <v>108.2</v>
      </c>
      <c r="Q81" t="e">
        <v>#N/A</v>
      </c>
      <c r="R81" s="188">
        <v>112.9</v>
      </c>
      <c r="S81">
        <v>106.7</v>
      </c>
      <c r="T81">
        <v>114</v>
      </c>
      <c r="U81">
        <v>110.4</v>
      </c>
      <c r="V81">
        <v>115.1</v>
      </c>
      <c r="W81">
        <v>116</v>
      </c>
      <c r="X81">
        <v>120.8</v>
      </c>
      <c r="Y81" t="e">
        <v>#N/A</v>
      </c>
    </row>
    <row r="82" spans="1:26">
      <c r="A82" s="1">
        <f t="shared" si="1"/>
        <v>44287</v>
      </c>
      <c r="B82">
        <v>113.8</v>
      </c>
      <c r="C82">
        <v>118.9</v>
      </c>
      <c r="D82">
        <v>112.3</v>
      </c>
      <c r="E82">
        <v>109.5</v>
      </c>
      <c r="F82">
        <v>116.3</v>
      </c>
      <c r="G82">
        <v>115.8</v>
      </c>
      <c r="H82">
        <v>115.8</v>
      </c>
      <c r="I82">
        <v>113.5</v>
      </c>
      <c r="J82">
        <v>110.2</v>
      </c>
      <c r="K82">
        <v>115.4</v>
      </c>
      <c r="L82">
        <v>112</v>
      </c>
      <c r="M82">
        <v>111.8</v>
      </c>
      <c r="N82">
        <v>115.6</v>
      </c>
      <c r="O82">
        <v>122.2</v>
      </c>
      <c r="P82">
        <v>108.5</v>
      </c>
      <c r="Q82" t="e">
        <v>#N/A</v>
      </c>
      <c r="R82" s="188">
        <v>113.3</v>
      </c>
      <c r="S82">
        <v>108</v>
      </c>
      <c r="T82">
        <v>114.3</v>
      </c>
      <c r="U82">
        <v>110.3</v>
      </c>
      <c r="V82">
        <v>114.8</v>
      </c>
      <c r="W82">
        <v>116</v>
      </c>
      <c r="X82">
        <v>118.8</v>
      </c>
      <c r="Y82" t="e">
        <v>#N/A</v>
      </c>
    </row>
    <row r="83" spans="1:26">
      <c r="A83" s="1">
        <f t="shared" si="1"/>
        <v>44317</v>
      </c>
      <c r="B83">
        <v>114</v>
      </c>
      <c r="C83">
        <v>119</v>
      </c>
      <c r="D83">
        <v>112.5</v>
      </c>
      <c r="E83">
        <v>109.6</v>
      </c>
      <c r="F83">
        <v>116.7</v>
      </c>
      <c r="G83">
        <v>115.7</v>
      </c>
      <c r="H83">
        <v>115.5</v>
      </c>
      <c r="I83">
        <v>113.3</v>
      </c>
      <c r="J83">
        <v>110.3</v>
      </c>
      <c r="K83">
        <v>118.1</v>
      </c>
      <c r="L83">
        <v>111.9</v>
      </c>
      <c r="M83">
        <v>111.2</v>
      </c>
      <c r="N83">
        <v>115.6</v>
      </c>
      <c r="O83">
        <v>124.3</v>
      </c>
      <c r="P83">
        <v>108.6</v>
      </c>
      <c r="Q83" t="e">
        <v>#N/A</v>
      </c>
      <c r="R83" s="188">
        <v>113.7</v>
      </c>
      <c r="S83">
        <v>108.3</v>
      </c>
      <c r="T83">
        <v>114.6</v>
      </c>
      <c r="U83">
        <v>111.3</v>
      </c>
      <c r="V83">
        <v>115.1</v>
      </c>
      <c r="W83">
        <v>116</v>
      </c>
      <c r="X83">
        <v>119.3</v>
      </c>
      <c r="Y83" t="e">
        <v>#N/A</v>
      </c>
    </row>
    <row r="84" spans="1:26">
      <c r="A84" s="1">
        <f t="shared" si="1"/>
        <v>44348</v>
      </c>
      <c r="B84">
        <v>114.8</v>
      </c>
      <c r="C84">
        <v>120.8</v>
      </c>
      <c r="D84">
        <v>113.1</v>
      </c>
      <c r="E84">
        <v>110.1</v>
      </c>
      <c r="F84">
        <v>118.5</v>
      </c>
      <c r="G84">
        <v>116.7</v>
      </c>
      <c r="H84">
        <v>116.2</v>
      </c>
      <c r="I84">
        <v>114.4</v>
      </c>
      <c r="J84">
        <v>110.9</v>
      </c>
      <c r="K84">
        <v>123.5</v>
      </c>
      <c r="L84">
        <v>112.6</v>
      </c>
      <c r="M84">
        <v>111.7</v>
      </c>
      <c r="N84">
        <v>116.1</v>
      </c>
      <c r="O84">
        <v>123.2</v>
      </c>
      <c r="P84">
        <v>109.2</v>
      </c>
      <c r="Q84" t="e">
        <v>#N/A</v>
      </c>
      <c r="R84" s="188">
        <v>114.9</v>
      </c>
      <c r="S84">
        <v>109.1</v>
      </c>
      <c r="T84">
        <v>115.4</v>
      </c>
      <c r="U84">
        <v>112.1</v>
      </c>
      <c r="V84">
        <v>115.3</v>
      </c>
      <c r="W84">
        <v>115.5</v>
      </c>
      <c r="X84">
        <v>118.5</v>
      </c>
      <c r="Y84" t="e">
        <v>#N/A</v>
      </c>
    </row>
    <row r="85" spans="1:26">
      <c r="A85" s="1">
        <f t="shared" si="1"/>
        <v>44378</v>
      </c>
      <c r="B85">
        <v>115.9</v>
      </c>
      <c r="C85">
        <v>122.7</v>
      </c>
      <c r="D85">
        <v>113.3</v>
      </c>
      <c r="E85">
        <v>110.5</v>
      </c>
      <c r="F85">
        <v>120.5</v>
      </c>
      <c r="G85">
        <v>118.3</v>
      </c>
      <c r="H85">
        <v>117.7</v>
      </c>
      <c r="I85">
        <v>115.8</v>
      </c>
      <c r="J85">
        <v>111.3</v>
      </c>
      <c r="K85">
        <v>129.30000000000001</v>
      </c>
      <c r="L85">
        <v>113.9</v>
      </c>
      <c r="M85">
        <v>113.9</v>
      </c>
      <c r="N85">
        <v>116.2</v>
      </c>
      <c r="O85">
        <v>123.6</v>
      </c>
      <c r="P85">
        <v>109.3</v>
      </c>
      <c r="Q85" t="e">
        <v>#N/A</v>
      </c>
      <c r="R85" s="188">
        <v>115.7</v>
      </c>
      <c r="S85">
        <v>109.7</v>
      </c>
      <c r="T85">
        <v>116.2</v>
      </c>
      <c r="U85">
        <v>112.5</v>
      </c>
      <c r="V85">
        <v>115.3</v>
      </c>
      <c r="W85">
        <v>115.5</v>
      </c>
      <c r="X85">
        <v>121.9</v>
      </c>
      <c r="Y85" t="e">
        <v>#N/A</v>
      </c>
    </row>
    <row r="86" spans="1:26">
      <c r="A86" s="1">
        <f t="shared" si="1"/>
        <v>44409</v>
      </c>
      <c r="B86">
        <v>116.1</v>
      </c>
      <c r="C86">
        <v>123.1</v>
      </c>
      <c r="D86">
        <v>113.4</v>
      </c>
      <c r="E86">
        <v>110.2</v>
      </c>
      <c r="F86">
        <v>120.9</v>
      </c>
      <c r="G86">
        <v>118.5</v>
      </c>
      <c r="H86">
        <v>117.9</v>
      </c>
      <c r="I86">
        <v>115.4</v>
      </c>
      <c r="J86">
        <v>111</v>
      </c>
      <c r="K86">
        <v>131.1</v>
      </c>
      <c r="L86">
        <v>114.1</v>
      </c>
      <c r="M86">
        <v>114.4</v>
      </c>
      <c r="N86">
        <v>116.2</v>
      </c>
      <c r="O86">
        <v>122.6</v>
      </c>
      <c r="P86">
        <v>109.4</v>
      </c>
      <c r="Q86" t="e">
        <v>#N/A</v>
      </c>
      <c r="R86" s="188">
        <v>116</v>
      </c>
      <c r="S86">
        <v>110</v>
      </c>
      <c r="T86">
        <v>116.4</v>
      </c>
      <c r="U86">
        <v>111.9</v>
      </c>
      <c r="V86">
        <v>114.7</v>
      </c>
      <c r="W86">
        <v>115.3</v>
      </c>
      <c r="X86">
        <v>129.4</v>
      </c>
      <c r="Y86" t="e">
        <v>#N/A</v>
      </c>
    </row>
    <row r="87" spans="1:26">
      <c r="A87" s="1">
        <f t="shared" si="1"/>
        <v>44440</v>
      </c>
      <c r="B87">
        <v>116.4</v>
      </c>
      <c r="C87">
        <v>123.7</v>
      </c>
      <c r="D87">
        <v>113.7</v>
      </c>
      <c r="E87">
        <v>110.4</v>
      </c>
      <c r="F87">
        <v>121.4</v>
      </c>
      <c r="G87">
        <v>118.6</v>
      </c>
      <c r="H87">
        <v>118</v>
      </c>
      <c r="I87">
        <v>116.1</v>
      </c>
      <c r="J87">
        <v>111.5</v>
      </c>
      <c r="K87">
        <v>138</v>
      </c>
      <c r="L87">
        <v>114.2</v>
      </c>
      <c r="M87">
        <v>114.3</v>
      </c>
      <c r="N87">
        <v>116.3</v>
      </c>
      <c r="O87">
        <v>123.3</v>
      </c>
      <c r="P87">
        <v>110.1</v>
      </c>
      <c r="Q87" t="e">
        <v>#N/A</v>
      </c>
      <c r="R87" s="188">
        <v>116.2</v>
      </c>
      <c r="S87">
        <v>111.4</v>
      </c>
      <c r="T87">
        <v>116.5</v>
      </c>
      <c r="U87">
        <v>113.2</v>
      </c>
      <c r="V87">
        <v>114.9</v>
      </c>
      <c r="W87">
        <v>115.4</v>
      </c>
      <c r="X87">
        <v>135.5</v>
      </c>
      <c r="Y87" t="e">
        <v>#N/A</v>
      </c>
    </row>
    <row r="88" spans="1:26">
      <c r="A88" s="1">
        <f t="shared" si="1"/>
        <v>44470</v>
      </c>
      <c r="B88">
        <v>117.5</v>
      </c>
      <c r="C88">
        <v>123.6</v>
      </c>
      <c r="D88">
        <v>114.6</v>
      </c>
      <c r="E88">
        <v>111.2</v>
      </c>
      <c r="F88">
        <v>121.5</v>
      </c>
      <c r="G88">
        <v>118.8</v>
      </c>
      <c r="H88">
        <v>118.3</v>
      </c>
      <c r="I88">
        <v>119.7</v>
      </c>
      <c r="J88">
        <v>113.1</v>
      </c>
      <c r="K88">
        <v>137.6</v>
      </c>
      <c r="L88">
        <v>115.8</v>
      </c>
      <c r="M88">
        <v>117.7</v>
      </c>
      <c r="N88">
        <v>116.1</v>
      </c>
      <c r="O88">
        <v>124.6</v>
      </c>
      <c r="P88">
        <v>110.2</v>
      </c>
      <c r="Q88" t="e">
        <v>#N/A</v>
      </c>
      <c r="R88" s="188">
        <v>116.5</v>
      </c>
      <c r="S88">
        <v>112.5</v>
      </c>
      <c r="T88">
        <v>116.9</v>
      </c>
      <c r="U88">
        <v>114.2</v>
      </c>
      <c r="V88">
        <v>115.3</v>
      </c>
      <c r="W88">
        <v>115.4</v>
      </c>
      <c r="X88">
        <v>139.6</v>
      </c>
      <c r="Y88" t="e">
        <v>#N/A</v>
      </c>
    </row>
    <row r="89" spans="1:26">
      <c r="A89" s="1">
        <f t="shared" si="1"/>
        <v>44501</v>
      </c>
      <c r="B89">
        <v>118.8</v>
      </c>
      <c r="C89">
        <v>124</v>
      </c>
      <c r="D89">
        <v>115</v>
      </c>
      <c r="E89">
        <v>112.1</v>
      </c>
      <c r="F89">
        <v>121.8</v>
      </c>
      <c r="G89">
        <v>119.2</v>
      </c>
      <c r="H89">
        <v>118.8</v>
      </c>
      <c r="I89">
        <v>120.3</v>
      </c>
      <c r="J89">
        <v>113.4</v>
      </c>
      <c r="K89">
        <v>135.69999999999999</v>
      </c>
      <c r="L89">
        <v>118</v>
      </c>
      <c r="M89">
        <v>123.3</v>
      </c>
      <c r="N89">
        <v>116.4</v>
      </c>
      <c r="O89">
        <v>126.6</v>
      </c>
      <c r="P89">
        <v>110.3</v>
      </c>
      <c r="Q89" t="e">
        <v>#N/A</v>
      </c>
      <c r="R89" s="188">
        <v>117.1</v>
      </c>
      <c r="S89">
        <v>113.2</v>
      </c>
      <c r="T89">
        <v>117.3</v>
      </c>
      <c r="U89">
        <v>114.3</v>
      </c>
      <c r="V89">
        <v>115.5</v>
      </c>
      <c r="W89">
        <v>115.6</v>
      </c>
      <c r="X89">
        <v>144.5</v>
      </c>
      <c r="Y89" t="e">
        <v>#N/A</v>
      </c>
    </row>
    <row r="90" spans="1:26">
      <c r="A90" s="1">
        <f t="shared" si="1"/>
        <v>44531</v>
      </c>
      <c r="B90">
        <v>118.2</v>
      </c>
      <c r="C90">
        <v>124.4</v>
      </c>
      <c r="D90">
        <v>114.9</v>
      </c>
      <c r="E90">
        <v>111.9</v>
      </c>
      <c r="F90">
        <v>121.8</v>
      </c>
      <c r="G90">
        <v>119.6</v>
      </c>
      <c r="H90">
        <v>119.5</v>
      </c>
      <c r="I90">
        <v>119.5</v>
      </c>
      <c r="J90">
        <v>113.2</v>
      </c>
      <c r="K90">
        <v>138</v>
      </c>
      <c r="L90">
        <v>117</v>
      </c>
      <c r="M90">
        <v>120</v>
      </c>
      <c r="N90">
        <v>116.5</v>
      </c>
      <c r="O90">
        <v>126.9</v>
      </c>
      <c r="P90">
        <v>110.9</v>
      </c>
      <c r="Q90" t="e">
        <v>#N/A</v>
      </c>
      <c r="R90" s="188">
        <v>116.7</v>
      </c>
      <c r="S90">
        <v>112.5</v>
      </c>
      <c r="T90">
        <v>117.5</v>
      </c>
      <c r="U90">
        <v>114.8</v>
      </c>
      <c r="V90">
        <v>115.5</v>
      </c>
      <c r="W90">
        <v>115.9</v>
      </c>
      <c r="X90">
        <v>136</v>
      </c>
      <c r="Y90" t="e">
        <v>#N/A</v>
      </c>
    </row>
    <row r="91" spans="1:26" s="134" customFormat="1">
      <c r="A91" s="133">
        <f t="shared" si="1"/>
        <v>44562</v>
      </c>
      <c r="B91" s="134">
        <v>119.9</v>
      </c>
      <c r="C91" s="134">
        <v>125.3</v>
      </c>
      <c r="D91" s="134">
        <v>117.4</v>
      </c>
      <c r="E91" s="134">
        <v>114.2</v>
      </c>
      <c r="F91" s="134">
        <v>123.6</v>
      </c>
      <c r="G91" s="134">
        <v>121</v>
      </c>
      <c r="H91" s="134">
        <v>121.2</v>
      </c>
      <c r="I91" s="134">
        <v>124.1</v>
      </c>
      <c r="J91" s="134">
        <v>115.1</v>
      </c>
      <c r="K91" s="134">
        <v>138.69999999999999</v>
      </c>
      <c r="L91" s="134">
        <v>118.5</v>
      </c>
      <c r="M91" s="134">
        <v>121.1</v>
      </c>
      <c r="N91" s="134">
        <v>118.3</v>
      </c>
      <c r="O91" s="134">
        <v>130.19999999999999</v>
      </c>
      <c r="P91" s="134">
        <v>114.1</v>
      </c>
      <c r="Q91" t="e">
        <v>#N/A</v>
      </c>
      <c r="R91" s="188">
        <v>118.8</v>
      </c>
      <c r="S91" s="134">
        <v>116.9</v>
      </c>
      <c r="T91" s="134">
        <v>118.7</v>
      </c>
      <c r="U91" s="134">
        <v>117.8</v>
      </c>
      <c r="V91" s="134">
        <v>116.1</v>
      </c>
      <c r="W91" s="134">
        <v>116.3</v>
      </c>
      <c r="X91" s="134">
        <v>135.80000000000001</v>
      </c>
      <c r="Y91" t="e">
        <v>#N/A</v>
      </c>
      <c r="Z91"/>
    </row>
    <row r="92" spans="1:26">
      <c r="A92" s="1">
        <f t="shared" si="1"/>
        <v>44593</v>
      </c>
      <c r="B92">
        <v>121.3</v>
      </c>
      <c r="C92">
        <v>125.7</v>
      </c>
      <c r="D92">
        <v>118.3</v>
      </c>
      <c r="E92">
        <v>114.9</v>
      </c>
      <c r="F92">
        <v>124.4</v>
      </c>
      <c r="G92">
        <v>121.6</v>
      </c>
      <c r="H92">
        <v>121.9</v>
      </c>
      <c r="I92">
        <v>127.1</v>
      </c>
      <c r="J92">
        <v>116.3</v>
      </c>
      <c r="K92">
        <v>140</v>
      </c>
      <c r="L92">
        <v>120.7</v>
      </c>
      <c r="M92">
        <v>125.7</v>
      </c>
      <c r="N92">
        <v>118.9</v>
      </c>
      <c r="O92">
        <v>131.19999999999999</v>
      </c>
      <c r="P92">
        <v>114.7</v>
      </c>
      <c r="Q92" t="e">
        <v>#N/A</v>
      </c>
      <c r="R92" s="188">
        <v>119.4</v>
      </c>
      <c r="S92">
        <v>116.9</v>
      </c>
      <c r="T92">
        <v>119.9</v>
      </c>
      <c r="U92">
        <v>118.7</v>
      </c>
      <c r="V92">
        <v>116.5</v>
      </c>
      <c r="W92">
        <v>116.8</v>
      </c>
      <c r="X92">
        <v>138.5</v>
      </c>
      <c r="Y92" t="e">
        <v>#N/A</v>
      </c>
    </row>
    <row r="93" spans="1:26">
      <c r="A93" s="1">
        <f t="shared" si="1"/>
        <v>44621</v>
      </c>
      <c r="B93">
        <v>124.7</v>
      </c>
      <c r="C93">
        <v>127.2</v>
      </c>
      <c r="D93">
        <v>121.6</v>
      </c>
      <c r="E93">
        <v>118.1</v>
      </c>
      <c r="F93">
        <v>128.4</v>
      </c>
      <c r="G93">
        <v>123.4</v>
      </c>
      <c r="H93">
        <v>123.7</v>
      </c>
      <c r="I93">
        <v>138.69999999999999</v>
      </c>
      <c r="J93">
        <v>121.5</v>
      </c>
      <c r="K93">
        <v>143.80000000000001</v>
      </c>
      <c r="L93">
        <v>125.6</v>
      </c>
      <c r="M93">
        <v>134.30000000000001</v>
      </c>
      <c r="N93">
        <v>120.8</v>
      </c>
      <c r="O93">
        <v>132.6</v>
      </c>
      <c r="P93">
        <v>116.4</v>
      </c>
      <c r="Q93" t="e">
        <v>#N/A</v>
      </c>
      <c r="R93" s="188">
        <v>121</v>
      </c>
      <c r="S93">
        <v>119.2</v>
      </c>
      <c r="T93">
        <v>121.2</v>
      </c>
      <c r="U93">
        <v>120.5</v>
      </c>
      <c r="V93">
        <v>117.4</v>
      </c>
      <c r="W93">
        <v>117.3</v>
      </c>
      <c r="X93">
        <v>136.5</v>
      </c>
      <c r="Y93" t="e">
        <v>#N/A</v>
      </c>
    </row>
    <row r="94" spans="1:26">
      <c r="A94" s="1">
        <f t="shared" si="1"/>
        <v>44652</v>
      </c>
      <c r="B94">
        <v>126.6</v>
      </c>
      <c r="C94">
        <v>131</v>
      </c>
      <c r="D94">
        <v>120.9</v>
      </c>
      <c r="E94">
        <v>118.4</v>
      </c>
      <c r="F94">
        <v>131.30000000000001</v>
      </c>
      <c r="G94">
        <v>126.2</v>
      </c>
      <c r="H94">
        <v>126.1</v>
      </c>
      <c r="I94">
        <v>133.69999999999999</v>
      </c>
      <c r="J94">
        <v>119.3</v>
      </c>
      <c r="K94">
        <v>153.5</v>
      </c>
      <c r="L94">
        <v>128.19999999999999</v>
      </c>
      <c r="M94">
        <v>141.69999999999999</v>
      </c>
      <c r="N94">
        <v>121.1</v>
      </c>
      <c r="O94">
        <v>136.69999999999999</v>
      </c>
      <c r="P94">
        <v>117.8</v>
      </c>
      <c r="Q94" t="e">
        <v>#N/A</v>
      </c>
      <c r="R94" s="188">
        <v>121.8</v>
      </c>
      <c r="S94">
        <v>120.7</v>
      </c>
      <c r="T94">
        <v>121.7</v>
      </c>
      <c r="U94">
        <v>121.6</v>
      </c>
      <c r="V94">
        <v>117.4</v>
      </c>
      <c r="W94">
        <v>117.6</v>
      </c>
      <c r="X94">
        <v>137.19999999999999</v>
      </c>
      <c r="Y94" t="e">
        <v>#N/A</v>
      </c>
    </row>
    <row r="95" spans="1:26">
      <c r="A95" s="1">
        <f t="shared" si="1"/>
        <v>44682</v>
      </c>
      <c r="B95">
        <v>127.3</v>
      </c>
      <c r="C95">
        <v>133.30000000000001</v>
      </c>
      <c r="D95">
        <v>121.7</v>
      </c>
      <c r="E95">
        <v>120.9</v>
      </c>
      <c r="F95">
        <v>134</v>
      </c>
      <c r="G95">
        <v>128.19999999999999</v>
      </c>
      <c r="H95">
        <v>127.2</v>
      </c>
      <c r="I95">
        <v>134.30000000000001</v>
      </c>
      <c r="J95">
        <v>119.4</v>
      </c>
      <c r="K95">
        <v>158.69999999999999</v>
      </c>
      <c r="L95">
        <v>128.1</v>
      </c>
      <c r="M95">
        <v>140</v>
      </c>
      <c r="N95">
        <v>121.3</v>
      </c>
      <c r="O95">
        <v>139.69999999999999</v>
      </c>
      <c r="P95">
        <v>117.8</v>
      </c>
      <c r="Q95" t="e">
        <v>#N/A</v>
      </c>
      <c r="R95" s="188">
        <v>123.2</v>
      </c>
      <c r="S95">
        <v>123.6</v>
      </c>
      <c r="T95">
        <v>122.4</v>
      </c>
      <c r="U95">
        <v>122.3</v>
      </c>
      <c r="V95">
        <v>117.9</v>
      </c>
      <c r="W95">
        <v>118.1</v>
      </c>
      <c r="X95">
        <v>137.30000000000001</v>
      </c>
      <c r="Y95" t="e">
        <v>#N/A</v>
      </c>
    </row>
    <row r="96" spans="1:26">
      <c r="A96" s="1">
        <f t="shared" si="1"/>
        <v>44713</v>
      </c>
      <c r="B96">
        <v>129.1</v>
      </c>
      <c r="C96">
        <v>132.19999999999999</v>
      </c>
      <c r="D96">
        <v>124.3</v>
      </c>
      <c r="E96">
        <v>122.9</v>
      </c>
      <c r="F96">
        <v>134.1</v>
      </c>
      <c r="G96">
        <v>127.7</v>
      </c>
      <c r="H96">
        <v>126.6</v>
      </c>
      <c r="I96">
        <v>141.80000000000001</v>
      </c>
      <c r="J96">
        <v>122.5</v>
      </c>
      <c r="K96">
        <v>161.4</v>
      </c>
      <c r="L96">
        <v>130.69999999999999</v>
      </c>
      <c r="M96">
        <v>143.80000000000001</v>
      </c>
      <c r="N96">
        <v>122.3</v>
      </c>
      <c r="O96">
        <v>139</v>
      </c>
      <c r="P96">
        <v>119.9</v>
      </c>
      <c r="Q96" t="e">
        <v>#N/A</v>
      </c>
      <c r="R96" s="188">
        <v>124.5</v>
      </c>
      <c r="S96">
        <v>126.4</v>
      </c>
      <c r="T96">
        <v>123.9</v>
      </c>
      <c r="U96">
        <v>125.4</v>
      </c>
      <c r="V96">
        <v>118.9</v>
      </c>
      <c r="W96">
        <v>118.7</v>
      </c>
      <c r="X96">
        <v>138.80000000000001</v>
      </c>
      <c r="Y96" t="e">
        <v>#N/A</v>
      </c>
    </row>
    <row r="97" spans="1:25">
      <c r="A97" s="1">
        <f t="shared" si="1"/>
        <v>44743</v>
      </c>
      <c r="B97">
        <v>129.1</v>
      </c>
      <c r="C97">
        <v>132.19999999999999</v>
      </c>
      <c r="D97">
        <v>124.3</v>
      </c>
      <c r="E97">
        <v>124.2</v>
      </c>
      <c r="F97">
        <v>133</v>
      </c>
      <c r="G97">
        <v>127.9</v>
      </c>
      <c r="H97">
        <v>127.1</v>
      </c>
      <c r="I97">
        <v>139.9</v>
      </c>
      <c r="J97">
        <v>122.2</v>
      </c>
      <c r="K97">
        <v>161.6</v>
      </c>
      <c r="L97">
        <v>130.5</v>
      </c>
      <c r="M97">
        <v>142.5</v>
      </c>
      <c r="N97">
        <v>122.7</v>
      </c>
      <c r="O97">
        <v>138.69999999999999</v>
      </c>
      <c r="P97">
        <v>122.6</v>
      </c>
      <c r="Q97" t="e">
        <v>#N/A</v>
      </c>
      <c r="R97" s="188">
        <v>125.1</v>
      </c>
      <c r="S97">
        <v>128.69999999999999</v>
      </c>
      <c r="T97">
        <v>124.3</v>
      </c>
      <c r="U97">
        <v>128.30000000000001</v>
      </c>
      <c r="V97">
        <v>119.5</v>
      </c>
      <c r="W97">
        <v>119.3</v>
      </c>
      <c r="X97">
        <v>140.19999999999999</v>
      </c>
      <c r="Y97" t="e">
        <v>#N/A</v>
      </c>
    </row>
    <row r="98" spans="1:25">
      <c r="A98" s="1">
        <f t="shared" si="1"/>
        <v>44774</v>
      </c>
      <c r="B98">
        <v>128.9</v>
      </c>
      <c r="C98">
        <v>132.1</v>
      </c>
      <c r="D98">
        <v>123.8</v>
      </c>
      <c r="E98">
        <v>122.3</v>
      </c>
      <c r="F98">
        <v>132.19999999999999</v>
      </c>
      <c r="G98">
        <v>127.8</v>
      </c>
      <c r="H98">
        <v>127.1</v>
      </c>
      <c r="I98">
        <v>136</v>
      </c>
      <c r="J98">
        <v>121.4</v>
      </c>
      <c r="K98">
        <v>152.1</v>
      </c>
      <c r="L98">
        <v>130</v>
      </c>
      <c r="M98">
        <v>142.19999999999999</v>
      </c>
      <c r="N98">
        <v>122.3</v>
      </c>
      <c r="O98">
        <v>137.5</v>
      </c>
      <c r="P98">
        <v>123.3</v>
      </c>
      <c r="Q98" t="e">
        <v>#N/A</v>
      </c>
      <c r="R98" s="188">
        <v>125</v>
      </c>
      <c r="S98">
        <v>128.9</v>
      </c>
      <c r="T98">
        <v>124.1</v>
      </c>
      <c r="U98">
        <v>128.69999999999999</v>
      </c>
      <c r="V98">
        <v>119.3</v>
      </c>
      <c r="W98">
        <v>119.6</v>
      </c>
      <c r="X98">
        <v>159.80000000000001</v>
      </c>
      <c r="Y98" t="e">
        <v>#N/A</v>
      </c>
    </row>
    <row r="99" spans="1:25">
      <c r="A99" s="1">
        <f t="shared" si="1"/>
        <v>44805</v>
      </c>
      <c r="B99">
        <v>128.4</v>
      </c>
      <c r="C99">
        <v>130.9</v>
      </c>
      <c r="D99">
        <v>123.1</v>
      </c>
      <c r="E99">
        <v>120.1</v>
      </c>
      <c r="F99">
        <v>130.6</v>
      </c>
      <c r="G99">
        <v>126.4</v>
      </c>
      <c r="H99">
        <v>126</v>
      </c>
      <c r="I99">
        <v>131.19999999999999</v>
      </c>
      <c r="J99">
        <v>120.3</v>
      </c>
      <c r="K99">
        <v>150.9</v>
      </c>
      <c r="L99">
        <v>130.19999999999999</v>
      </c>
      <c r="M99">
        <v>144.69999999999999</v>
      </c>
      <c r="N99">
        <v>122.1</v>
      </c>
      <c r="O99">
        <v>136</v>
      </c>
      <c r="P99">
        <v>120.9</v>
      </c>
      <c r="Q99" t="e">
        <v>#N/A</v>
      </c>
      <c r="R99" s="188">
        <v>124.8</v>
      </c>
      <c r="S99">
        <v>127.6</v>
      </c>
      <c r="T99">
        <v>123.2</v>
      </c>
      <c r="U99">
        <v>125.7</v>
      </c>
      <c r="V99">
        <v>119.1</v>
      </c>
      <c r="W99">
        <v>119.3</v>
      </c>
      <c r="X99">
        <v>140.69999999999999</v>
      </c>
      <c r="Y99" t="e">
        <v>#N/A</v>
      </c>
    </row>
    <row r="100" spans="1:25">
      <c r="A100" s="1">
        <f t="shared" si="1"/>
        <v>44835</v>
      </c>
      <c r="B100">
        <v>127.7</v>
      </c>
      <c r="C100">
        <v>130.5</v>
      </c>
      <c r="D100">
        <v>125.3</v>
      </c>
      <c r="E100">
        <v>122.8</v>
      </c>
      <c r="F100">
        <v>131.30000000000001</v>
      </c>
      <c r="G100">
        <v>126.5</v>
      </c>
      <c r="H100">
        <v>126.2</v>
      </c>
      <c r="I100">
        <v>137.19999999999999</v>
      </c>
      <c r="J100">
        <v>123.5</v>
      </c>
      <c r="K100">
        <v>148.19999999999999</v>
      </c>
      <c r="L100">
        <v>128.1</v>
      </c>
      <c r="M100">
        <v>135.5</v>
      </c>
      <c r="N100">
        <v>123</v>
      </c>
      <c r="O100">
        <v>136.5</v>
      </c>
      <c r="P100">
        <v>121.1</v>
      </c>
      <c r="Q100" t="e">
        <v>#N/A</v>
      </c>
      <c r="R100" s="188">
        <v>125.3</v>
      </c>
      <c r="S100">
        <v>128</v>
      </c>
      <c r="T100">
        <v>123.8</v>
      </c>
      <c r="U100">
        <v>126</v>
      </c>
      <c r="V100">
        <v>119.7</v>
      </c>
      <c r="W100">
        <v>119.7</v>
      </c>
      <c r="X100">
        <v>145.1</v>
      </c>
      <c r="Y100" t="e">
        <v>#N/A</v>
      </c>
    </row>
    <row r="101" spans="1:25">
      <c r="A101" s="1">
        <f t="shared" si="1"/>
        <v>44866</v>
      </c>
      <c r="B101" s="164">
        <v>127.3</v>
      </c>
      <c r="C101" s="164">
        <v>130.19999999999999</v>
      </c>
      <c r="D101" s="164">
        <v>125.3</v>
      </c>
      <c r="E101" s="164">
        <v>125.9</v>
      </c>
      <c r="F101" s="164">
        <v>130.19999999999999</v>
      </c>
      <c r="G101" s="164">
        <v>126.7</v>
      </c>
      <c r="H101" s="164">
        <v>126.3</v>
      </c>
      <c r="I101" s="164">
        <v>136.5</v>
      </c>
      <c r="J101" s="164">
        <v>122.8</v>
      </c>
      <c r="K101" s="164">
        <v>145.4</v>
      </c>
      <c r="L101" s="164">
        <v>127</v>
      </c>
      <c r="M101" s="164">
        <v>132.19999999999999</v>
      </c>
      <c r="N101" s="164">
        <v>123.5</v>
      </c>
      <c r="O101" s="164">
        <v>135.4</v>
      </c>
      <c r="P101" s="164">
        <v>121.7</v>
      </c>
      <c r="Q101" t="e">
        <v>#N/A</v>
      </c>
      <c r="R101" s="188">
        <v>125.4</v>
      </c>
      <c r="S101" s="164">
        <v>128.1</v>
      </c>
      <c r="T101" s="164">
        <v>124.5</v>
      </c>
      <c r="U101" s="164">
        <v>126.4</v>
      </c>
      <c r="V101" s="164">
        <v>120.5</v>
      </c>
      <c r="W101" s="164">
        <v>120.4</v>
      </c>
      <c r="X101" s="164">
        <v>148.4</v>
      </c>
      <c r="Y101" t="e">
        <v>#N/A</v>
      </c>
    </row>
    <row r="102" spans="1:25">
      <c r="A102" s="1">
        <f t="shared" si="1"/>
        <v>44896</v>
      </c>
      <c r="B102" s="167">
        <v>126.5</v>
      </c>
      <c r="C102" s="167">
        <v>129.4</v>
      </c>
      <c r="D102" s="167">
        <v>124.9</v>
      </c>
      <c r="E102" s="167">
        <v>125.3</v>
      </c>
      <c r="F102" s="167">
        <v>128.19999999999999</v>
      </c>
      <c r="G102" s="167">
        <v>126</v>
      </c>
      <c r="H102" s="167">
        <v>126.3</v>
      </c>
      <c r="I102" s="167">
        <v>133.6</v>
      </c>
      <c r="J102" s="167">
        <v>121.7</v>
      </c>
      <c r="K102" s="167">
        <v>138.80000000000001</v>
      </c>
      <c r="L102" s="167">
        <v>125.9</v>
      </c>
      <c r="M102" s="167">
        <v>129.4</v>
      </c>
      <c r="N102" s="167">
        <v>123.4</v>
      </c>
      <c r="O102" s="167">
        <v>134.9</v>
      </c>
      <c r="P102" s="167">
        <v>120.9</v>
      </c>
      <c r="Q102" t="e">
        <v>#N/A</v>
      </c>
      <c r="R102" s="188">
        <v>125.6</v>
      </c>
      <c r="S102" s="167">
        <v>126.8</v>
      </c>
      <c r="T102" s="167">
        <v>124.5</v>
      </c>
      <c r="U102" s="167">
        <v>124.7</v>
      </c>
      <c r="V102" s="167">
        <v>120.4</v>
      </c>
      <c r="W102" s="167">
        <v>120.9</v>
      </c>
      <c r="X102" s="167">
        <v>145</v>
      </c>
      <c r="Y102" t="e">
        <v>#N/A</v>
      </c>
    </row>
    <row r="103" spans="1:25">
      <c r="A103" s="1">
        <f t="shared" si="1"/>
        <v>44927</v>
      </c>
      <c r="B103">
        <v>128</v>
      </c>
      <c r="C103">
        <v>130.4</v>
      </c>
      <c r="D103">
        <v>127.6</v>
      </c>
      <c r="E103">
        <v>121.5</v>
      </c>
      <c r="F103">
        <v>129.5</v>
      </c>
      <c r="G103">
        <v>127.9</v>
      </c>
      <c r="H103">
        <v>129.19999999999999</v>
      </c>
      <c r="I103">
        <v>139.69999999999999</v>
      </c>
      <c r="J103">
        <v>123.8</v>
      </c>
      <c r="K103">
        <v>135.80000000000001</v>
      </c>
      <c r="L103">
        <v>127.2</v>
      </c>
      <c r="M103">
        <v>127.6</v>
      </c>
      <c r="N103">
        <v>125.4</v>
      </c>
      <c r="O103">
        <v>134</v>
      </c>
      <c r="P103">
        <v>122.5</v>
      </c>
      <c r="Q103" t="e">
        <v>#N/A</v>
      </c>
      <c r="R103" s="188">
        <v>127.5</v>
      </c>
      <c r="S103">
        <v>129.19999999999999</v>
      </c>
      <c r="T103">
        <v>126.6</v>
      </c>
      <c r="U103">
        <v>126.9</v>
      </c>
      <c r="V103">
        <v>121.5</v>
      </c>
      <c r="W103">
        <v>121.5</v>
      </c>
      <c r="X103">
        <v>164.6</v>
      </c>
      <c r="Y103" t="e">
        <v>#N/A</v>
      </c>
    </row>
    <row r="104" spans="1:25">
      <c r="A104" s="1">
        <f t="shared" si="1"/>
        <v>44958</v>
      </c>
      <c r="B104" s="167">
        <v>127.9</v>
      </c>
      <c r="C104" s="167">
        <v>132.4</v>
      </c>
      <c r="D104" s="167">
        <v>127.4</v>
      </c>
      <c r="E104" s="167">
        <v>119.6</v>
      </c>
      <c r="F104" s="167">
        <v>130.4</v>
      </c>
      <c r="G104" s="167">
        <v>131.19999999999999</v>
      </c>
      <c r="H104" s="167">
        <v>132.5</v>
      </c>
      <c r="I104" s="167">
        <v>137.4</v>
      </c>
      <c r="J104" s="167">
        <v>123</v>
      </c>
      <c r="K104" s="167">
        <v>135.19999999999999</v>
      </c>
      <c r="L104" s="167">
        <v>126.8</v>
      </c>
      <c r="M104" s="167">
        <v>123.9</v>
      </c>
      <c r="N104" s="167">
        <v>126</v>
      </c>
      <c r="O104" s="167">
        <v>131</v>
      </c>
      <c r="P104" s="167">
        <v>123.5</v>
      </c>
      <c r="Q104" t="e">
        <v>#N/A</v>
      </c>
      <c r="R104" s="188">
        <v>128.1</v>
      </c>
      <c r="S104" s="167">
        <v>130.1</v>
      </c>
      <c r="T104" s="167">
        <v>127.4</v>
      </c>
      <c r="U104" s="167">
        <v>128.1</v>
      </c>
      <c r="V104" s="167">
        <v>122.4</v>
      </c>
      <c r="W104" s="167">
        <v>122.5</v>
      </c>
      <c r="X104" s="167">
        <v>160.69999999999999</v>
      </c>
      <c r="Y104" t="e">
        <v>#N/A</v>
      </c>
    </row>
    <row r="105" spans="1:25">
      <c r="A105" s="1">
        <f t="shared" si="1"/>
        <v>44986</v>
      </c>
      <c r="B105" s="170">
        <v>128.9</v>
      </c>
      <c r="C105" s="29">
        <v>135.30000000000001</v>
      </c>
      <c r="D105" s="29">
        <v>127.6</v>
      </c>
      <c r="E105" s="29">
        <v>119.2</v>
      </c>
      <c r="F105" s="29">
        <v>132.5</v>
      </c>
      <c r="G105" s="29">
        <v>133.6</v>
      </c>
      <c r="H105" s="29">
        <v>135.69999999999999</v>
      </c>
      <c r="I105" s="29">
        <v>137</v>
      </c>
      <c r="J105" s="29">
        <v>123.2</v>
      </c>
      <c r="K105" s="29">
        <v>134.9</v>
      </c>
      <c r="L105" s="29">
        <v>127.9</v>
      </c>
      <c r="M105" s="29">
        <v>124.7</v>
      </c>
      <c r="N105" s="29">
        <v>126.5</v>
      </c>
      <c r="O105" s="29">
        <v>130</v>
      </c>
      <c r="P105" s="29">
        <v>124.5</v>
      </c>
      <c r="Q105" t="e">
        <v>#N/A</v>
      </c>
      <c r="R105" s="188">
        <v>128.80000000000001</v>
      </c>
      <c r="S105" s="29">
        <v>130.80000000000001</v>
      </c>
      <c r="T105" s="29">
        <v>128.1</v>
      </c>
      <c r="U105" s="29">
        <v>129.6</v>
      </c>
      <c r="V105" s="29">
        <v>123.2</v>
      </c>
      <c r="W105" s="29">
        <v>123.3</v>
      </c>
      <c r="X105" s="29">
        <v>162.9</v>
      </c>
      <c r="Y105" t="e">
        <v>#N/A</v>
      </c>
    </row>
    <row r="106" spans="1:25">
      <c r="A106" s="1">
        <f t="shared" si="1"/>
        <v>45017</v>
      </c>
      <c r="B106" s="167">
        <v>129.4</v>
      </c>
      <c r="C106" s="167">
        <v>135.69999999999999</v>
      </c>
      <c r="D106" s="167">
        <v>127.7</v>
      </c>
      <c r="E106" s="167">
        <v>116.5</v>
      </c>
      <c r="F106" s="167">
        <v>133</v>
      </c>
      <c r="G106" s="167">
        <v>134.4</v>
      </c>
      <c r="H106" s="167">
        <v>136.5</v>
      </c>
      <c r="I106" s="167">
        <v>137</v>
      </c>
      <c r="J106" s="167">
        <v>123.8</v>
      </c>
      <c r="K106" s="167">
        <v>136.19999999999999</v>
      </c>
      <c r="L106" s="167">
        <v>128.19999999999999</v>
      </c>
      <c r="M106" s="167">
        <v>125.7</v>
      </c>
      <c r="N106" s="167">
        <v>127.3</v>
      </c>
      <c r="O106" s="167">
        <v>130.5</v>
      </c>
      <c r="P106" s="167">
        <v>125.4</v>
      </c>
      <c r="Q106" t="e">
        <v>#N/A</v>
      </c>
      <c r="R106" s="188">
        <v>129.4</v>
      </c>
      <c r="S106" s="167">
        <v>132.4</v>
      </c>
      <c r="T106" s="167">
        <v>128.30000000000001</v>
      </c>
      <c r="U106" s="167">
        <v>129.4</v>
      </c>
      <c r="V106" s="167">
        <v>123.2</v>
      </c>
      <c r="W106" s="167">
        <v>123.5</v>
      </c>
      <c r="X106" s="167">
        <v>168.2</v>
      </c>
      <c r="Y106" t="e">
        <v>#N/A</v>
      </c>
    </row>
    <row r="107" spans="1:25">
      <c r="A107" s="1">
        <f t="shared" si="1"/>
        <v>45047</v>
      </c>
      <c r="B107" s="167">
        <v>128.9</v>
      </c>
      <c r="C107" s="167">
        <v>133.19999999999999</v>
      </c>
      <c r="D107" s="167">
        <v>127.2</v>
      </c>
      <c r="E107" s="167">
        <v>112.9</v>
      </c>
      <c r="F107" s="167">
        <v>130.30000000000001</v>
      </c>
      <c r="G107" s="167">
        <v>131.6</v>
      </c>
      <c r="H107" s="167">
        <v>133.69999999999999</v>
      </c>
      <c r="I107" s="167">
        <v>133.30000000000001</v>
      </c>
      <c r="J107" s="167">
        <v>123.2</v>
      </c>
      <c r="K107" s="167">
        <v>138.19999999999999</v>
      </c>
      <c r="L107" s="167">
        <v>128</v>
      </c>
      <c r="M107" s="167">
        <v>127.1</v>
      </c>
      <c r="N107" s="167">
        <v>127.2</v>
      </c>
      <c r="O107" s="167">
        <v>128.69999999999999</v>
      </c>
      <c r="P107" s="167">
        <v>124.9</v>
      </c>
      <c r="Q107" t="e">
        <v>#N/A</v>
      </c>
      <c r="R107" s="188">
        <v>129.4</v>
      </c>
      <c r="S107" s="167">
        <v>132.4</v>
      </c>
      <c r="T107" s="167">
        <v>128.5</v>
      </c>
      <c r="U107" s="167">
        <v>128.80000000000001</v>
      </c>
      <c r="V107" s="167">
        <v>123.7</v>
      </c>
      <c r="W107" s="167">
        <v>123.9</v>
      </c>
      <c r="X107" s="167">
        <v>160.30000000000001</v>
      </c>
      <c r="Y107" t="e">
        <v>#N/A</v>
      </c>
    </row>
    <row r="108" spans="1:25">
      <c r="A108" s="1">
        <f t="shared" si="1"/>
        <v>45078</v>
      </c>
      <c r="B108" s="167">
        <v>128.30000000000001</v>
      </c>
      <c r="C108" s="167">
        <v>132.19999999999999</v>
      </c>
      <c r="D108" s="167">
        <v>127.6</v>
      </c>
      <c r="E108" s="167">
        <v>117</v>
      </c>
      <c r="F108" s="167">
        <v>129.80000000000001</v>
      </c>
      <c r="G108" s="167">
        <v>130.9</v>
      </c>
      <c r="H108" s="167">
        <v>132.1</v>
      </c>
      <c r="I108" s="167">
        <v>134.1</v>
      </c>
      <c r="J108" s="167">
        <v>123.7</v>
      </c>
      <c r="K108" s="167">
        <v>136.1</v>
      </c>
      <c r="L108" s="167">
        <v>126.5</v>
      </c>
      <c r="M108" s="167">
        <v>123.9</v>
      </c>
      <c r="N108" s="167">
        <v>127.2</v>
      </c>
      <c r="O108" s="167">
        <v>127.3</v>
      </c>
      <c r="P108" s="167">
        <v>124.4</v>
      </c>
      <c r="Q108" t="e">
        <v>#N/A</v>
      </c>
      <c r="R108" s="188">
        <v>129.5</v>
      </c>
      <c r="S108" s="167">
        <v>132.6</v>
      </c>
      <c r="T108" s="167">
        <v>128.9</v>
      </c>
      <c r="U108" s="167">
        <v>129.4</v>
      </c>
      <c r="V108" s="167">
        <v>124.7</v>
      </c>
      <c r="W108" s="167">
        <v>124.7</v>
      </c>
      <c r="X108" s="167">
        <v>159.4</v>
      </c>
      <c r="Y108" t="e">
        <v>#N/A</v>
      </c>
    </row>
    <row r="109" spans="1:25">
      <c r="A109" s="1">
        <f t="shared" si="1"/>
        <v>45108</v>
      </c>
      <c r="B109" s="167">
        <v>128.6</v>
      </c>
      <c r="C109" s="167">
        <v>131.1</v>
      </c>
      <c r="D109" s="167">
        <v>127.9</v>
      </c>
      <c r="E109" s="167">
        <v>117</v>
      </c>
      <c r="F109" s="167">
        <v>129.30000000000001</v>
      </c>
      <c r="G109" s="167">
        <v>130.1</v>
      </c>
      <c r="H109" s="167">
        <v>131.30000000000001</v>
      </c>
      <c r="I109" s="167">
        <v>135.30000000000001</v>
      </c>
      <c r="J109" s="167">
        <v>124.6</v>
      </c>
      <c r="K109" s="167">
        <v>136.9</v>
      </c>
      <c r="L109" s="167">
        <v>127.7</v>
      </c>
      <c r="M109" s="167">
        <v>126.6</v>
      </c>
      <c r="N109" s="167">
        <v>127.6</v>
      </c>
      <c r="O109" s="167">
        <v>125.7</v>
      </c>
      <c r="P109" s="167">
        <v>124.7</v>
      </c>
      <c r="Q109" t="e">
        <v>#N/A</v>
      </c>
      <c r="R109" s="188">
        <v>129.30000000000001</v>
      </c>
      <c r="S109" s="167">
        <v>131.9</v>
      </c>
      <c r="T109" s="167">
        <v>127.8</v>
      </c>
      <c r="U109" s="167">
        <v>128.5</v>
      </c>
      <c r="V109" s="167">
        <v>124.5</v>
      </c>
      <c r="W109" s="167">
        <v>123.2</v>
      </c>
      <c r="X109" s="167">
        <v>168.6</v>
      </c>
      <c r="Y109" t="e">
        <v>#N/A</v>
      </c>
    </row>
    <row r="110" spans="1:25">
      <c r="A110" s="1">
        <f t="shared" si="1"/>
        <v>45139</v>
      </c>
      <c r="B110" s="167">
        <v>129.19999999999999</v>
      </c>
      <c r="C110" s="167">
        <v>131.5</v>
      </c>
      <c r="D110" s="167">
        <v>128.80000000000001</v>
      </c>
      <c r="E110" s="167">
        <v>119.1</v>
      </c>
      <c r="F110" s="167">
        <v>130.19999999999999</v>
      </c>
      <c r="G110" s="167">
        <v>131</v>
      </c>
      <c r="H110" s="167">
        <v>132.1</v>
      </c>
      <c r="I110" s="167">
        <v>139.80000000000001</v>
      </c>
      <c r="J110" s="167">
        <v>126.4</v>
      </c>
      <c r="K110" s="167">
        <v>135.4</v>
      </c>
      <c r="L110" s="167">
        <v>128.19999999999999</v>
      </c>
      <c r="M110" s="167">
        <v>126.8</v>
      </c>
      <c r="N110" s="167">
        <v>128</v>
      </c>
      <c r="O110" s="167">
        <v>127.2</v>
      </c>
      <c r="P110" s="167">
        <v>125.3</v>
      </c>
      <c r="Q110" t="e">
        <v>#N/A</v>
      </c>
      <c r="R110" s="188">
        <v>129.6</v>
      </c>
      <c r="S110" s="167">
        <v>132.5</v>
      </c>
      <c r="T110" s="167">
        <v>128.5</v>
      </c>
      <c r="U110" s="167">
        <v>128.69999999999999</v>
      </c>
      <c r="V110" s="167">
        <v>124.8</v>
      </c>
      <c r="W110" s="167">
        <v>124.1</v>
      </c>
      <c r="X110" s="167">
        <v>169.1</v>
      </c>
      <c r="Y110" t="e">
        <v>#N/A</v>
      </c>
    </row>
    <row r="111" spans="1:25">
      <c r="A111" s="1">
        <f t="shared" si="1"/>
        <v>45170</v>
      </c>
      <c r="B111" s="167">
        <v>130.80000000000001</v>
      </c>
      <c r="C111" s="167">
        <v>131.30000000000001</v>
      </c>
      <c r="D111" s="167">
        <v>130.1</v>
      </c>
      <c r="E111" s="167">
        <v>119</v>
      </c>
      <c r="F111" s="167">
        <v>130.19999999999999</v>
      </c>
      <c r="G111" s="167">
        <v>130.1</v>
      </c>
      <c r="H111" s="167">
        <v>131.6</v>
      </c>
      <c r="I111" s="167">
        <v>143.1</v>
      </c>
      <c r="J111" s="167">
        <v>128</v>
      </c>
      <c r="K111" s="167">
        <v>135.69999999999999</v>
      </c>
      <c r="L111" s="167">
        <v>130.69999999999999</v>
      </c>
      <c r="M111" s="167">
        <v>132.69999999999999</v>
      </c>
      <c r="N111" s="167">
        <v>129.30000000000001</v>
      </c>
      <c r="O111" s="167">
        <v>128.80000000000001</v>
      </c>
      <c r="P111" s="167">
        <v>126.6</v>
      </c>
      <c r="Q111" t="e">
        <v>#N/A</v>
      </c>
      <c r="R111" s="188">
        <v>130.4</v>
      </c>
      <c r="S111" s="167">
        <v>132.9</v>
      </c>
      <c r="T111" s="167">
        <v>129.6</v>
      </c>
      <c r="U111" s="167">
        <v>130.30000000000001</v>
      </c>
      <c r="V111" s="167">
        <v>125.8</v>
      </c>
      <c r="W111" s="167">
        <v>125.1</v>
      </c>
      <c r="X111" s="167">
        <v>157.9</v>
      </c>
      <c r="Y111" t="e">
        <v>#N/A</v>
      </c>
    </row>
    <row r="112" spans="1:25">
      <c r="A112" s="1">
        <f t="shared" si="1"/>
        <v>45200</v>
      </c>
      <c r="B112" s="167">
        <v>130.69999999999999</v>
      </c>
      <c r="C112" s="167">
        <v>131.6</v>
      </c>
      <c r="D112" s="167">
        <v>129.6</v>
      </c>
      <c r="E112" s="167">
        <v>118.4</v>
      </c>
      <c r="F112" s="167">
        <v>130.4</v>
      </c>
      <c r="G112" s="167">
        <v>130.9</v>
      </c>
      <c r="H112" s="167">
        <v>132.4</v>
      </c>
      <c r="I112" s="167">
        <v>141.80000000000001</v>
      </c>
      <c r="J112" s="167">
        <v>127.4</v>
      </c>
      <c r="K112" s="167">
        <v>129.4</v>
      </c>
      <c r="L112" s="167">
        <v>131.19999999999999</v>
      </c>
      <c r="M112" s="167">
        <v>134.4</v>
      </c>
      <c r="N112" s="167">
        <v>129</v>
      </c>
      <c r="O112" s="167">
        <v>129.69999999999999</v>
      </c>
      <c r="P112" s="167">
        <v>124.8</v>
      </c>
      <c r="Q112" t="e">
        <v>#N/A</v>
      </c>
      <c r="R112" s="188">
        <v>129.9</v>
      </c>
      <c r="S112" s="167">
        <v>131.69999999999999</v>
      </c>
      <c r="T112" s="167">
        <v>128.9</v>
      </c>
      <c r="U112" s="167">
        <v>128.80000000000001</v>
      </c>
      <c r="V112" s="167">
        <v>126.1</v>
      </c>
      <c r="W112" s="167">
        <v>125</v>
      </c>
      <c r="X112" s="167">
        <v>152.1</v>
      </c>
      <c r="Y112" t="e">
        <v>#N/A</v>
      </c>
    </row>
    <row r="113" spans="1:25">
      <c r="A113" s="1">
        <f t="shared" si="1"/>
        <v>45231</v>
      </c>
      <c r="B113" s="169">
        <v>130.30000000000001</v>
      </c>
      <c r="C113" s="167">
        <v>132.6</v>
      </c>
      <c r="D113" s="167">
        <v>129.30000000000001</v>
      </c>
      <c r="E113" s="167">
        <v>118</v>
      </c>
      <c r="F113" s="167">
        <v>130.4</v>
      </c>
      <c r="G113" s="167">
        <v>131.9</v>
      </c>
      <c r="H113" s="167">
        <v>134</v>
      </c>
      <c r="I113" s="167">
        <v>139.4</v>
      </c>
      <c r="J113" s="167">
        <v>126.4</v>
      </c>
      <c r="K113" s="167">
        <v>129.80000000000001</v>
      </c>
      <c r="L113" s="167">
        <v>130.19999999999999</v>
      </c>
      <c r="M113" s="167">
        <v>130.9</v>
      </c>
      <c r="N113" s="167">
        <v>128.9</v>
      </c>
      <c r="O113" s="167">
        <v>129.19999999999999</v>
      </c>
      <c r="P113" s="167">
        <v>124.7</v>
      </c>
      <c r="Q113" t="e">
        <v>#N/A</v>
      </c>
      <c r="R113" s="188">
        <v>130.1</v>
      </c>
      <c r="S113" s="167">
        <v>131.5</v>
      </c>
      <c r="T113" s="167">
        <v>129.30000000000001</v>
      </c>
      <c r="U113" s="167">
        <v>128.19999999999999</v>
      </c>
      <c r="V113" s="167">
        <v>125.7</v>
      </c>
      <c r="W113" s="167">
        <v>125.4</v>
      </c>
      <c r="X113" s="167">
        <v>153.19999999999999</v>
      </c>
      <c r="Y113" t="e">
        <v>#N/A</v>
      </c>
    </row>
    <row r="114" spans="1:25">
      <c r="A114" s="1">
        <f t="shared" si="1"/>
        <v>45261</v>
      </c>
      <c r="B114">
        <v>129.6</v>
      </c>
      <c r="C114">
        <v>133.69999999999999</v>
      </c>
      <c r="D114">
        <v>128.80000000000001</v>
      </c>
      <c r="E114">
        <v>117.8</v>
      </c>
      <c r="F114">
        <v>130.6</v>
      </c>
      <c r="G114">
        <v>133.19999999999999</v>
      </c>
      <c r="H114">
        <v>135.9</v>
      </c>
      <c r="I114">
        <v>138</v>
      </c>
      <c r="J114">
        <v>126.2</v>
      </c>
      <c r="K114">
        <v>133.5</v>
      </c>
      <c r="L114">
        <v>128.69999999999999</v>
      </c>
      <c r="M114">
        <v>126.2</v>
      </c>
      <c r="N114">
        <v>128.69999999999999</v>
      </c>
      <c r="O114">
        <v>129.1</v>
      </c>
      <c r="P114">
        <v>124.5</v>
      </c>
      <c r="Q114" t="e">
        <v>#N/A</v>
      </c>
      <c r="R114" s="188">
        <v>129.80000000000001</v>
      </c>
      <c r="S114">
        <v>130.80000000000001</v>
      </c>
      <c r="T114">
        <v>129.1</v>
      </c>
      <c r="U114">
        <v>127.6</v>
      </c>
      <c r="V114">
        <v>125.6</v>
      </c>
      <c r="W114">
        <v>125.1</v>
      </c>
      <c r="X114">
        <v>164.9</v>
      </c>
      <c r="Y114" t="e">
        <v>#N/A</v>
      </c>
    </row>
    <row r="115" spans="1:25">
      <c r="A115" s="1">
        <f t="shared" si="1"/>
        <v>45292</v>
      </c>
      <c r="B115">
        <v>129.6</v>
      </c>
      <c r="C115" s="167">
        <v>134</v>
      </c>
      <c r="D115" s="167">
        <v>130.9</v>
      </c>
      <c r="E115" s="167">
        <v>115.4</v>
      </c>
      <c r="F115" s="167">
        <v>131.69999999999999</v>
      </c>
      <c r="G115">
        <v>133.19999999999999</v>
      </c>
      <c r="H115">
        <v>135.9</v>
      </c>
      <c r="I115" s="167">
        <v>137.80000000000001</v>
      </c>
      <c r="J115" s="167">
        <v>128.19999999999999</v>
      </c>
      <c r="K115" s="167">
        <v>133.4</v>
      </c>
      <c r="L115" s="167">
        <v>128.6</v>
      </c>
      <c r="M115" s="167">
        <v>124.5</v>
      </c>
      <c r="N115" s="167">
        <v>129.6</v>
      </c>
      <c r="O115" s="167">
        <v>129.30000000000001</v>
      </c>
      <c r="P115" s="167">
        <v>125.4</v>
      </c>
      <c r="Q115">
        <v>127.4</v>
      </c>
      <c r="R115" s="188">
        <v>130.30000000000001</v>
      </c>
      <c r="S115" s="167">
        <v>130</v>
      </c>
      <c r="T115" s="167">
        <v>129.6</v>
      </c>
      <c r="U115" s="167">
        <v>127.5</v>
      </c>
      <c r="V115">
        <v>125.2</v>
      </c>
      <c r="W115" s="167">
        <v>124.9</v>
      </c>
      <c r="X115" s="167">
        <v>151.9</v>
      </c>
      <c r="Y115">
        <v>137.1</v>
      </c>
    </row>
    <row r="116" spans="1:25">
      <c r="A116" s="1">
        <f t="shared" si="1"/>
        <v>45323</v>
      </c>
      <c r="B116" s="169">
        <v>129.9</v>
      </c>
      <c r="C116" s="38">
        <v>133.6</v>
      </c>
      <c r="D116" s="38">
        <v>131.69999999999999</v>
      </c>
      <c r="E116" s="38">
        <v>116</v>
      </c>
      <c r="F116" s="38">
        <v>132.30000000000001</v>
      </c>
      <c r="G116" s="38">
        <v>132.9</v>
      </c>
      <c r="H116" s="38">
        <v>135.19999999999999</v>
      </c>
      <c r="I116" s="38">
        <v>140.5</v>
      </c>
      <c r="J116" s="38">
        <v>129.19999999999999</v>
      </c>
      <c r="K116" s="38">
        <v>133.6</v>
      </c>
      <c r="L116" s="38">
        <v>128.6</v>
      </c>
      <c r="M116" s="38">
        <v>124.1</v>
      </c>
      <c r="N116" s="38">
        <v>130.19999999999999</v>
      </c>
      <c r="O116" s="38">
        <v>130.1</v>
      </c>
      <c r="P116" s="38">
        <v>125.1</v>
      </c>
      <c r="Q116" s="38">
        <v>128.4</v>
      </c>
      <c r="R116" s="38">
        <v>130.6</v>
      </c>
      <c r="S116" s="38">
        <v>131.1</v>
      </c>
      <c r="T116" s="38">
        <v>130.5</v>
      </c>
      <c r="U116" s="38">
        <v>127.9</v>
      </c>
      <c r="V116" s="38">
        <v>126.2</v>
      </c>
      <c r="W116" s="38">
        <v>125.7</v>
      </c>
      <c r="X116" s="38">
        <v>150.9</v>
      </c>
      <c r="Y116" s="38">
        <v>135.9</v>
      </c>
    </row>
    <row r="117" spans="1:25">
      <c r="A117" s="1">
        <f t="shared" si="1"/>
        <v>45352</v>
      </c>
      <c r="B117" s="169">
        <v>130.1</v>
      </c>
      <c r="C117" s="38">
        <v>133.80000000000001</v>
      </c>
      <c r="D117" s="38">
        <v>131.4</v>
      </c>
      <c r="E117" s="38">
        <v>116</v>
      </c>
      <c r="F117" s="38">
        <v>132.5</v>
      </c>
      <c r="G117" s="38">
        <v>133.4</v>
      </c>
      <c r="H117" s="38">
        <v>135.4</v>
      </c>
      <c r="I117" s="38">
        <v>139.9</v>
      </c>
      <c r="J117" s="38">
        <v>128.9</v>
      </c>
      <c r="K117" s="38">
        <v>135</v>
      </c>
      <c r="L117" s="38">
        <v>129.30000000000001</v>
      </c>
      <c r="M117" s="38">
        <v>125.7</v>
      </c>
      <c r="N117" s="38">
        <v>130.30000000000001</v>
      </c>
      <c r="O117" s="38">
        <v>130.30000000000001</v>
      </c>
      <c r="P117" s="38">
        <v>125.1</v>
      </c>
      <c r="Q117" s="38">
        <v>127.6</v>
      </c>
      <c r="R117" s="38">
        <v>130.1</v>
      </c>
      <c r="S117" s="38">
        <v>129.5</v>
      </c>
      <c r="T117" s="38">
        <v>130.19999999999999</v>
      </c>
      <c r="U117" s="38">
        <v>127.8</v>
      </c>
      <c r="V117" s="38">
        <v>126.2</v>
      </c>
      <c r="W117" s="38">
        <v>125</v>
      </c>
      <c r="X117" s="38">
        <v>151.1</v>
      </c>
      <c r="Y117" s="38">
        <v>135.69999999999999</v>
      </c>
    </row>
    <row r="118" spans="1:25">
      <c r="A118" s="1">
        <f t="shared" si="1"/>
        <v>45383</v>
      </c>
      <c r="B118" s="169">
        <v>130.30000000000001</v>
      </c>
      <c r="C118" s="38">
        <v>133.4</v>
      </c>
      <c r="D118" s="38">
        <v>131.69999999999999</v>
      </c>
      <c r="E118" s="38">
        <v>116.3</v>
      </c>
      <c r="F118" s="38">
        <v>131.4</v>
      </c>
      <c r="G118" s="38">
        <v>133.1</v>
      </c>
      <c r="H118" s="38">
        <v>134.80000000000001</v>
      </c>
      <c r="I118" s="38">
        <v>139.80000000000001</v>
      </c>
      <c r="J118" s="38">
        <v>129.19999999999999</v>
      </c>
      <c r="K118" s="38">
        <v>135.5</v>
      </c>
      <c r="L118" s="38">
        <v>129.69999999999999</v>
      </c>
      <c r="M118" s="38">
        <v>127.2</v>
      </c>
      <c r="N118" s="38">
        <v>130.5</v>
      </c>
      <c r="O118" s="38">
        <v>131.4</v>
      </c>
      <c r="P118" s="38">
        <v>124.7</v>
      </c>
      <c r="Q118" s="38">
        <v>128.1</v>
      </c>
      <c r="R118" s="38">
        <v>129.9</v>
      </c>
      <c r="S118" s="38">
        <v>130.30000000000001</v>
      </c>
      <c r="T118" s="38">
        <v>130.4</v>
      </c>
      <c r="U118" s="38">
        <v>126.6</v>
      </c>
      <c r="V118" s="38">
        <v>125.9</v>
      </c>
      <c r="W118" s="38">
        <v>125.2</v>
      </c>
      <c r="X118" s="38">
        <v>150.5</v>
      </c>
      <c r="Y118" s="38">
        <v>134.69999999999999</v>
      </c>
    </row>
    <row r="119" spans="1:25">
      <c r="A119" s="1">
        <f t="shared" si="1"/>
        <v>45413</v>
      </c>
      <c r="B119">
        <v>130.1</v>
      </c>
      <c r="C119">
        <v>132.5</v>
      </c>
      <c r="D119">
        <v>131</v>
      </c>
      <c r="E119">
        <v>115.2</v>
      </c>
      <c r="F119">
        <v>130.30000000000001</v>
      </c>
      <c r="G119">
        <v>131.9</v>
      </c>
      <c r="H119">
        <v>133</v>
      </c>
      <c r="I119">
        <v>137.69999999999999</v>
      </c>
      <c r="J119">
        <v>128.19999999999999</v>
      </c>
      <c r="K119">
        <v>135.1</v>
      </c>
      <c r="L119">
        <v>129.6</v>
      </c>
      <c r="M119">
        <v>128.5</v>
      </c>
      <c r="N119" s="38">
        <v>130.30000000000001</v>
      </c>
      <c r="O119" s="38">
        <v>131.19999999999999</v>
      </c>
      <c r="P119" s="38">
        <v>125.1</v>
      </c>
      <c r="Q119" s="38">
        <v>128.1</v>
      </c>
      <c r="R119" s="38">
        <v>129.80000000000001</v>
      </c>
      <c r="S119" s="38">
        <v>130.80000000000001</v>
      </c>
      <c r="T119" s="38">
        <v>130.80000000000001</v>
      </c>
      <c r="U119" s="38">
        <v>127.9</v>
      </c>
      <c r="V119" s="38">
        <v>126.2</v>
      </c>
      <c r="W119" s="38">
        <v>125.6</v>
      </c>
      <c r="X119" s="38">
        <v>149.1</v>
      </c>
      <c r="Y119" s="38">
        <v>132.5</v>
      </c>
    </row>
    <row r="120" spans="1:25">
      <c r="A120" s="1">
        <f t="shared" si="1"/>
        <v>45444</v>
      </c>
      <c r="B120" s="38">
        <v>129.80000000000001</v>
      </c>
      <c r="C120" s="38">
        <v>132.1</v>
      </c>
      <c r="D120" s="38">
        <v>131.1</v>
      </c>
      <c r="E120" s="38">
        <v>116</v>
      </c>
      <c r="F120" s="38">
        <v>129.80000000000001</v>
      </c>
      <c r="G120" s="38">
        <v>131.4</v>
      </c>
      <c r="H120" s="38">
        <v>132.30000000000001</v>
      </c>
      <c r="I120" s="38">
        <v>137.4</v>
      </c>
      <c r="J120" s="38">
        <v>128.5</v>
      </c>
      <c r="K120" s="38">
        <v>132.30000000000001</v>
      </c>
      <c r="L120" s="38">
        <v>129</v>
      </c>
      <c r="M120" s="38">
        <v>127.6</v>
      </c>
      <c r="N120" s="38">
        <v>130.4</v>
      </c>
      <c r="O120" s="38">
        <v>130.80000000000001</v>
      </c>
      <c r="P120" s="38">
        <v>124.7</v>
      </c>
      <c r="Q120" s="38">
        <v>127.9</v>
      </c>
      <c r="R120" s="38">
        <v>129.9</v>
      </c>
      <c r="S120" s="38">
        <v>130.1</v>
      </c>
      <c r="T120" s="38">
        <v>130.80000000000001</v>
      </c>
      <c r="U120" s="38">
        <v>127.2</v>
      </c>
      <c r="V120" s="38">
        <v>126.2</v>
      </c>
      <c r="W120" s="38">
        <v>124.3</v>
      </c>
      <c r="X120" s="38">
        <v>148.69999999999999</v>
      </c>
      <c r="Y120" s="38">
        <v>131.9</v>
      </c>
    </row>
    <row r="121" spans="1:25">
      <c r="A121" s="1">
        <f t="shared" si="1"/>
        <v>45474</v>
      </c>
      <c r="B121" s="38">
        <v>129.9</v>
      </c>
      <c r="C121" s="38">
        <v>132.30000000000001</v>
      </c>
      <c r="D121" s="38">
        <v>130.6</v>
      </c>
      <c r="E121" s="38">
        <v>115.1</v>
      </c>
      <c r="F121" s="38">
        <v>129.9</v>
      </c>
      <c r="G121" s="38">
        <v>131.6</v>
      </c>
      <c r="H121" s="38">
        <v>132.5</v>
      </c>
      <c r="I121" s="38">
        <v>137.9</v>
      </c>
      <c r="J121" s="38">
        <v>128.4</v>
      </c>
      <c r="K121" s="38">
        <v>132.30000000000001</v>
      </c>
      <c r="L121" s="38">
        <v>129.6</v>
      </c>
      <c r="M121" s="38">
        <v>128.4</v>
      </c>
      <c r="N121" s="38">
        <v>130.1</v>
      </c>
      <c r="O121" s="38">
        <v>129</v>
      </c>
      <c r="P121" s="38">
        <v>125.5</v>
      </c>
      <c r="Q121" s="38">
        <v>127.7</v>
      </c>
      <c r="R121" s="38">
        <v>129.30000000000001</v>
      </c>
      <c r="S121" s="38">
        <v>130.19999999999999</v>
      </c>
      <c r="T121" s="38">
        <v>131.1</v>
      </c>
      <c r="U121" s="38">
        <v>127.9</v>
      </c>
      <c r="V121" s="38">
        <v>126.3</v>
      </c>
      <c r="W121" s="38">
        <v>125.1</v>
      </c>
      <c r="X121" s="38">
        <v>148.80000000000001</v>
      </c>
      <c r="Y121" s="38">
        <v>132.19999999999999</v>
      </c>
    </row>
    <row r="122" spans="1:25">
      <c r="A122" s="1">
        <f t="shared" si="1"/>
        <v>45505</v>
      </c>
      <c r="B122">
        <v>130.1</v>
      </c>
      <c r="C122">
        <v>132.80000000000001</v>
      </c>
      <c r="D122">
        <v>130.30000000000001</v>
      </c>
      <c r="E122">
        <v>115.8</v>
      </c>
      <c r="F122">
        <v>130.19999999999999</v>
      </c>
      <c r="G122">
        <v>132.19999999999999</v>
      </c>
      <c r="H122">
        <v>133.30000000000001</v>
      </c>
      <c r="I122">
        <v>136.1</v>
      </c>
      <c r="J122">
        <v>127.5</v>
      </c>
      <c r="K122">
        <v>133</v>
      </c>
      <c r="L122">
        <v>130</v>
      </c>
      <c r="M122">
        <v>129</v>
      </c>
      <c r="N122">
        <v>130.5</v>
      </c>
      <c r="O122">
        <v>129.30000000000001</v>
      </c>
      <c r="P122">
        <v>125.6</v>
      </c>
      <c r="Q122" s="38">
        <v>127.8</v>
      </c>
      <c r="R122" s="38">
        <v>129.5</v>
      </c>
      <c r="S122">
        <v>130.1</v>
      </c>
      <c r="T122">
        <v>130.80000000000001</v>
      </c>
      <c r="U122">
        <v>128.30000000000001</v>
      </c>
      <c r="V122">
        <v>126.7</v>
      </c>
      <c r="W122">
        <v>125.1</v>
      </c>
      <c r="X122" s="38">
        <v>149.30000000000001</v>
      </c>
      <c r="Y122" s="38">
        <v>133.1</v>
      </c>
    </row>
    <row r="123" spans="1:25">
      <c r="A123" s="1">
        <f t="shared" si="1"/>
        <v>45536</v>
      </c>
      <c r="B123">
        <v>129.1</v>
      </c>
      <c r="C123">
        <v>133</v>
      </c>
      <c r="D123">
        <v>129.80000000000001</v>
      </c>
      <c r="E123">
        <v>115.4</v>
      </c>
      <c r="F123">
        <v>130</v>
      </c>
      <c r="G123">
        <v>131.9</v>
      </c>
      <c r="H123">
        <v>133.1</v>
      </c>
      <c r="I123">
        <v>134.19999999999999</v>
      </c>
      <c r="J123">
        <v>127</v>
      </c>
      <c r="K123">
        <v>132.80000000000001</v>
      </c>
      <c r="L123">
        <v>127.7</v>
      </c>
      <c r="M123">
        <v>126</v>
      </c>
      <c r="N123">
        <v>130.19999999999999</v>
      </c>
      <c r="O123">
        <v>129.80000000000001</v>
      </c>
      <c r="P123">
        <v>124.8</v>
      </c>
      <c r="Q123" s="38">
        <v>127.2</v>
      </c>
      <c r="R123" s="38">
        <v>129</v>
      </c>
      <c r="S123">
        <v>129.19999999999999</v>
      </c>
      <c r="T123">
        <v>130.9</v>
      </c>
      <c r="U123">
        <v>127.7</v>
      </c>
      <c r="V123">
        <v>126.6</v>
      </c>
      <c r="W123">
        <v>125.9</v>
      </c>
      <c r="X123" s="38">
        <v>149.80000000000001</v>
      </c>
      <c r="Y123" s="38">
        <v>133.4</v>
      </c>
    </row>
    <row r="124" spans="1:25">
      <c r="A124" s="1">
        <f t="shared" si="1"/>
        <v>45566</v>
      </c>
      <c r="B124" s="169">
        <v>128.80000000000001</v>
      </c>
      <c r="C124" s="38">
        <v>133.1</v>
      </c>
      <c r="D124" s="38">
        <v>130.1</v>
      </c>
      <c r="E124" s="38">
        <v>114.9</v>
      </c>
      <c r="F124" s="38">
        <v>130</v>
      </c>
      <c r="G124" s="38">
        <v>132.1</v>
      </c>
      <c r="H124" s="38">
        <v>133.30000000000001</v>
      </c>
      <c r="I124" s="38">
        <v>134.69999999999999</v>
      </c>
      <c r="J124" s="38">
        <v>127.6</v>
      </c>
      <c r="K124" s="38">
        <v>133</v>
      </c>
      <c r="L124" s="38">
        <v>127.1</v>
      </c>
      <c r="M124" s="38">
        <v>123.7</v>
      </c>
      <c r="N124" s="38">
        <v>130.19999999999999</v>
      </c>
      <c r="O124" s="38">
        <v>129.69999999999999</v>
      </c>
      <c r="P124" s="38">
        <v>125.2</v>
      </c>
      <c r="Q124" s="38">
        <v>127.2</v>
      </c>
      <c r="R124" s="38">
        <v>128.9</v>
      </c>
      <c r="S124">
        <v>129.19999999999999</v>
      </c>
      <c r="T124">
        <v>130.69999999999999</v>
      </c>
      <c r="U124">
        <v>128.1</v>
      </c>
      <c r="V124">
        <v>127</v>
      </c>
      <c r="W124">
        <v>125.6</v>
      </c>
      <c r="X124" s="38">
        <v>149.9</v>
      </c>
      <c r="Y124" s="38">
        <v>134.30000000000001</v>
      </c>
    </row>
    <row r="125" spans="1:25">
      <c r="A125" s="1">
        <f t="shared" si="1"/>
        <v>45597</v>
      </c>
      <c r="B125">
        <v>130.19999999999999</v>
      </c>
      <c r="C125">
        <v>133.6</v>
      </c>
      <c r="D125">
        <v>130.19999999999999</v>
      </c>
      <c r="E125">
        <v>114.9</v>
      </c>
      <c r="F125">
        <v>130.30000000000001</v>
      </c>
      <c r="G125">
        <v>132.5</v>
      </c>
      <c r="H125">
        <v>134.1</v>
      </c>
      <c r="I125">
        <v>135.4</v>
      </c>
      <c r="J125">
        <v>127.9</v>
      </c>
      <c r="K125">
        <v>133</v>
      </c>
      <c r="L125">
        <v>129.80000000000001</v>
      </c>
      <c r="M125">
        <v>129.5</v>
      </c>
      <c r="N125">
        <v>130.4</v>
      </c>
      <c r="O125">
        <v>130</v>
      </c>
      <c r="P125">
        <v>124.7</v>
      </c>
      <c r="Q125" s="38">
        <v>127.6</v>
      </c>
      <c r="R125" s="38">
        <v>129</v>
      </c>
      <c r="S125">
        <v>129.69999999999999</v>
      </c>
      <c r="T125">
        <v>131.4</v>
      </c>
      <c r="U125">
        <v>127.5</v>
      </c>
      <c r="V125">
        <v>127.3</v>
      </c>
      <c r="W125">
        <v>126.4</v>
      </c>
      <c r="X125" s="38">
        <v>150.5</v>
      </c>
      <c r="Y125" s="38">
        <v>135.5</v>
      </c>
    </row>
    <row r="126" spans="1:25">
      <c r="A126" s="1">
        <f t="shared" si="1"/>
        <v>45627</v>
      </c>
      <c r="B126">
        <v>130.6</v>
      </c>
      <c r="C126">
        <v>134.19999999999999</v>
      </c>
      <c r="D126">
        <v>130.69999999999999</v>
      </c>
      <c r="E126">
        <v>116.2</v>
      </c>
      <c r="F126">
        <v>130.9</v>
      </c>
      <c r="G126">
        <v>133.30000000000001</v>
      </c>
      <c r="H126">
        <v>135.4</v>
      </c>
      <c r="I126">
        <v>136.19999999999999</v>
      </c>
      <c r="J126">
        <v>128.4</v>
      </c>
      <c r="K126">
        <v>132.80000000000001</v>
      </c>
      <c r="L126">
        <v>130.4</v>
      </c>
      <c r="M126">
        <v>128.9</v>
      </c>
      <c r="N126">
        <v>130.69999999999999</v>
      </c>
      <c r="O126">
        <v>130.19999999999999</v>
      </c>
      <c r="P126">
        <v>124.6</v>
      </c>
      <c r="Q126" s="38">
        <v>128</v>
      </c>
      <c r="R126" s="38">
        <v>129.19999999999999</v>
      </c>
      <c r="S126">
        <v>130.1</v>
      </c>
      <c r="T126">
        <v>131.30000000000001</v>
      </c>
      <c r="U126">
        <v>127</v>
      </c>
      <c r="V126">
        <v>127.7</v>
      </c>
      <c r="W126">
        <v>126.8</v>
      </c>
      <c r="X126" s="38">
        <v>152.5</v>
      </c>
      <c r="Y126" s="38">
        <v>137.6</v>
      </c>
    </row>
    <row r="127" spans="1:25">
      <c r="A127" s="1">
        <f t="shared" si="1"/>
        <v>45658</v>
      </c>
      <c r="B127" s="169">
        <v>131.9</v>
      </c>
      <c r="C127">
        <v>135.1</v>
      </c>
      <c r="D127">
        <v>133.4</v>
      </c>
      <c r="E127">
        <v>119.7</v>
      </c>
      <c r="F127">
        <v>132.6</v>
      </c>
      <c r="G127">
        <v>134.69999999999999</v>
      </c>
      <c r="H127">
        <v>136.5</v>
      </c>
      <c r="I127">
        <v>138.1</v>
      </c>
      <c r="J127">
        <v>131.5</v>
      </c>
      <c r="K127">
        <v>133</v>
      </c>
      <c r="L127">
        <v>131.6</v>
      </c>
      <c r="M127">
        <v>130.69999999999999</v>
      </c>
      <c r="N127" s="38">
        <v>131.5</v>
      </c>
      <c r="O127" s="38">
        <v>130.80000000000001</v>
      </c>
      <c r="P127" s="38">
        <v>125.3</v>
      </c>
      <c r="Q127" s="38">
        <v>128.30000000000001</v>
      </c>
      <c r="R127" s="38">
        <v>129.80000000000001</v>
      </c>
      <c r="S127" s="38">
        <v>130.1</v>
      </c>
      <c r="T127" s="38">
        <v>132.6</v>
      </c>
      <c r="U127" s="38">
        <v>127.7</v>
      </c>
      <c r="V127" s="38">
        <v>128.1</v>
      </c>
      <c r="W127" s="38">
        <v>125.7</v>
      </c>
      <c r="X127">
        <v>153</v>
      </c>
      <c r="Y127">
        <v>138.19999999999999</v>
      </c>
    </row>
    <row r="128" spans="1:25">
      <c r="A128" s="1">
        <f t="shared" si="1"/>
        <v>45689</v>
      </c>
      <c r="B128">
        <v>132.19999999999999</v>
      </c>
      <c r="C128">
        <v>135</v>
      </c>
      <c r="D128">
        <v>133.4</v>
      </c>
      <c r="E128">
        <v>120.2</v>
      </c>
      <c r="F128">
        <v>132.4</v>
      </c>
      <c r="G128">
        <v>134.4</v>
      </c>
      <c r="H128">
        <v>135.80000000000001</v>
      </c>
      <c r="I128">
        <v>138.19999999999999</v>
      </c>
      <c r="J128">
        <v>131.69999999999999</v>
      </c>
      <c r="K128">
        <v>133.4</v>
      </c>
      <c r="L128">
        <v>132.19999999999999</v>
      </c>
      <c r="M128">
        <v>132.1</v>
      </c>
      <c r="N128">
        <v>132</v>
      </c>
      <c r="O128">
        <v>131.19999999999999</v>
      </c>
      <c r="P128">
        <v>124.9</v>
      </c>
      <c r="Q128">
        <v>128.9</v>
      </c>
      <c r="R128">
        <v>130</v>
      </c>
      <c r="S128">
        <v>130.9</v>
      </c>
      <c r="T128">
        <v>132.4</v>
      </c>
      <c r="U128">
        <v>127.5</v>
      </c>
      <c r="V128">
        <v>128.5</v>
      </c>
      <c r="W128">
        <v>124.3</v>
      </c>
      <c r="X128">
        <v>152.4</v>
      </c>
      <c r="Y128">
        <v>137.4</v>
      </c>
    </row>
    <row r="129" spans="1:25">
      <c r="A129" s="1">
        <f t="shared" si="1"/>
        <v>45717</v>
      </c>
      <c r="B129">
        <v>131.69999999999999</v>
      </c>
      <c r="C129">
        <v>135</v>
      </c>
      <c r="D129">
        <v>132.4</v>
      </c>
      <c r="E129">
        <v>118.6</v>
      </c>
      <c r="F129">
        <v>132</v>
      </c>
      <c r="G129">
        <v>134.30000000000001</v>
      </c>
      <c r="H129">
        <v>135.5</v>
      </c>
      <c r="I129">
        <v>136.1</v>
      </c>
      <c r="J129">
        <v>130.19999999999999</v>
      </c>
      <c r="K129">
        <v>133.80000000000001</v>
      </c>
      <c r="L129">
        <v>131.4</v>
      </c>
      <c r="M129">
        <v>130.80000000000001</v>
      </c>
      <c r="N129">
        <v>131.9</v>
      </c>
      <c r="O129">
        <v>131</v>
      </c>
      <c r="P129">
        <v>125.1</v>
      </c>
      <c r="Q129">
        <v>129.1</v>
      </c>
      <c r="R129">
        <v>129.80000000000001</v>
      </c>
      <c r="S129">
        <v>131.5</v>
      </c>
      <c r="T129">
        <v>132.4</v>
      </c>
      <c r="U129">
        <v>128</v>
      </c>
      <c r="V129">
        <v>128.6</v>
      </c>
      <c r="W129">
        <v>124.1</v>
      </c>
      <c r="X129">
        <v>151.69999999999999</v>
      </c>
      <c r="Y129">
        <v>136.9</v>
      </c>
    </row>
    <row r="130" spans="1:25">
      <c r="A130" s="1">
        <f t="shared" si="1"/>
        <v>45748</v>
      </c>
      <c r="B130">
        <v>131.4</v>
      </c>
      <c r="C130">
        <v>135.5</v>
      </c>
      <c r="D130">
        <v>132.80000000000001</v>
      </c>
      <c r="E130">
        <v>119.5</v>
      </c>
      <c r="F130">
        <v>132.6</v>
      </c>
      <c r="G130">
        <v>134.9</v>
      </c>
      <c r="H130">
        <v>135.9</v>
      </c>
      <c r="I130">
        <v>135.1</v>
      </c>
      <c r="J130">
        <v>130.4</v>
      </c>
      <c r="K130">
        <v>134.5</v>
      </c>
      <c r="L130">
        <v>130.5</v>
      </c>
      <c r="M130">
        <v>128.5</v>
      </c>
      <c r="N130">
        <v>132.4</v>
      </c>
      <c r="O130">
        <v>131.1</v>
      </c>
      <c r="P130">
        <v>125.2</v>
      </c>
      <c r="Q130">
        <v>129</v>
      </c>
      <c r="R130">
        <v>130.1</v>
      </c>
      <c r="S130">
        <v>130.69999999999999</v>
      </c>
      <c r="T130">
        <v>132.69999999999999</v>
      </c>
      <c r="U130">
        <v>127.5</v>
      </c>
      <c r="V130">
        <v>128.69999999999999</v>
      </c>
      <c r="W130">
        <v>124.1</v>
      </c>
      <c r="X130">
        <v>145</v>
      </c>
      <c r="Y130">
        <v>136.4</v>
      </c>
    </row>
    <row r="131" spans="1:25">
      <c r="A131" s="1">
        <f t="shared" si="1"/>
        <v>45778</v>
      </c>
      <c r="B131">
        <v>130.69999999999999</v>
      </c>
      <c r="C131">
        <v>135.30000000000001</v>
      </c>
      <c r="D131">
        <v>132.9</v>
      </c>
      <c r="E131">
        <v>117.5</v>
      </c>
      <c r="F131">
        <v>132.30000000000001</v>
      </c>
      <c r="G131">
        <v>134.4</v>
      </c>
      <c r="H131">
        <v>135.1</v>
      </c>
      <c r="I131">
        <v>134.4</v>
      </c>
      <c r="J131">
        <v>130.4</v>
      </c>
      <c r="K131">
        <v>134.80000000000001</v>
      </c>
      <c r="L131">
        <v>128.80000000000001</v>
      </c>
      <c r="M131">
        <v>125.1</v>
      </c>
      <c r="N131">
        <v>132.6</v>
      </c>
      <c r="O131">
        <v>130.9</v>
      </c>
      <c r="P131">
        <v>125.4</v>
      </c>
      <c r="Q131">
        <v>129.69999999999999</v>
      </c>
      <c r="R131">
        <v>130.4</v>
      </c>
      <c r="S131">
        <v>131.9</v>
      </c>
      <c r="T131">
        <v>132.69999999999999</v>
      </c>
      <c r="U131">
        <v>127.8</v>
      </c>
      <c r="V131">
        <v>128.9</v>
      </c>
      <c r="W131">
        <v>124.1</v>
      </c>
      <c r="X131">
        <v>146.30000000000001</v>
      </c>
      <c r="Y131">
        <v>135.30000000000001</v>
      </c>
    </row>
    <row r="132" spans="1:25">
      <c r="A132" s="1">
        <f t="shared" si="1"/>
        <v>45809</v>
      </c>
      <c r="B132">
        <v>130.5</v>
      </c>
      <c r="C132">
        <v>135</v>
      </c>
      <c r="D132">
        <v>132.9</v>
      </c>
      <c r="E132">
        <v>117.8</v>
      </c>
      <c r="F132">
        <v>132</v>
      </c>
      <c r="G132">
        <v>134</v>
      </c>
      <c r="H132">
        <v>134.5</v>
      </c>
      <c r="I132">
        <v>136</v>
      </c>
      <c r="J132">
        <v>130.9</v>
      </c>
      <c r="K132">
        <v>134.6</v>
      </c>
      <c r="L132">
        <v>128.4</v>
      </c>
      <c r="M132">
        <v>124.2</v>
      </c>
      <c r="N132">
        <v>132.30000000000001</v>
      </c>
      <c r="O132">
        <v>131</v>
      </c>
      <c r="P132">
        <v>125.3</v>
      </c>
      <c r="Q132">
        <v>129.30000000000001</v>
      </c>
      <c r="R132">
        <v>130.5</v>
      </c>
      <c r="S132">
        <v>131.4</v>
      </c>
      <c r="T132">
        <v>132.5</v>
      </c>
      <c r="U132">
        <v>128.30000000000001</v>
      </c>
      <c r="V132">
        <v>129.4</v>
      </c>
      <c r="W132">
        <v>124.1</v>
      </c>
      <c r="X132">
        <v>147.69999999999999</v>
      </c>
      <c r="Y132">
        <v>134.80000000000001</v>
      </c>
    </row>
    <row r="133" spans="1:25">
      <c r="A133" s="1">
        <f t="shared" si="1"/>
        <v>45839</v>
      </c>
      <c r="B133">
        <v>131</v>
      </c>
      <c r="C133">
        <v>135.19999999999999</v>
      </c>
      <c r="D133">
        <v>133.1</v>
      </c>
      <c r="E133">
        <v>117.6</v>
      </c>
      <c r="F133">
        <v>132.1</v>
      </c>
      <c r="G133">
        <v>134.30000000000001</v>
      </c>
      <c r="H133">
        <v>134.69999999999999</v>
      </c>
      <c r="I133">
        <v>136.9</v>
      </c>
      <c r="J133">
        <v>131.30000000000001</v>
      </c>
      <c r="K133">
        <v>134.80000000000001</v>
      </c>
      <c r="L133">
        <v>129.4</v>
      </c>
      <c r="M133">
        <v>125.8</v>
      </c>
      <c r="N133">
        <v>132.4</v>
      </c>
      <c r="O133">
        <v>130.6</v>
      </c>
      <c r="P133">
        <v>125.4</v>
      </c>
      <c r="Q133">
        <v>129.4</v>
      </c>
      <c r="R133">
        <v>130.30000000000001</v>
      </c>
      <c r="S133">
        <v>131.4</v>
      </c>
      <c r="T133">
        <v>133</v>
      </c>
      <c r="U133">
        <v>128.19999999999999</v>
      </c>
      <c r="V133">
        <v>129.69999999999999</v>
      </c>
      <c r="W133">
        <v>124.4</v>
      </c>
      <c r="X133">
        <v>153.4</v>
      </c>
      <c r="Y133">
        <v>135.1</v>
      </c>
    </row>
    <row r="134" spans="1:25">
      <c r="A134" s="1">
        <f t="shared" si="1"/>
        <v>45870</v>
      </c>
      <c r="B134">
        <v>131.4</v>
      </c>
      <c r="C134">
        <v>136.1</v>
      </c>
      <c r="D134">
        <v>133.80000000000001</v>
      </c>
      <c r="E134">
        <v>118.2</v>
      </c>
      <c r="F134">
        <v>132.69999999999999</v>
      </c>
      <c r="G134">
        <v>135.19999999999999</v>
      </c>
      <c r="H134">
        <v>136</v>
      </c>
      <c r="I134">
        <v>137.6</v>
      </c>
      <c r="J134">
        <v>132.19999999999999</v>
      </c>
      <c r="K134">
        <v>135.19999999999999</v>
      </c>
      <c r="L134">
        <v>129.30000000000001</v>
      </c>
      <c r="M134">
        <v>124.3</v>
      </c>
      <c r="N134">
        <v>133.5</v>
      </c>
      <c r="O134">
        <v>130.5</v>
      </c>
      <c r="P134">
        <v>126.3</v>
      </c>
      <c r="Q134">
        <v>130.19999999999999</v>
      </c>
      <c r="R134">
        <v>131.19999999999999</v>
      </c>
      <c r="S134">
        <v>131.80000000000001</v>
      </c>
      <c r="T134">
        <v>133.80000000000001</v>
      </c>
      <c r="U134">
        <v>128.19999999999999</v>
      </c>
      <c r="V134">
        <v>130</v>
      </c>
      <c r="W134">
        <v>125.3</v>
      </c>
      <c r="X134">
        <v>153.9</v>
      </c>
      <c r="Y134">
        <v>136.1</v>
      </c>
    </row>
    <row r="135" spans="1:25">
      <c r="A135" s="1">
        <f t="shared" si="1"/>
        <v>45901</v>
      </c>
      <c r="B135" s="167">
        <v>130.69999999999999</v>
      </c>
      <c r="C135" s="167">
        <v>135.69999999999999</v>
      </c>
      <c r="D135" s="167">
        <v>133.4</v>
      </c>
      <c r="E135" s="167">
        <v>117</v>
      </c>
      <c r="F135" s="167">
        <v>132.19999999999999</v>
      </c>
      <c r="G135" s="167">
        <v>134.6</v>
      </c>
      <c r="H135" s="167">
        <v>135.30000000000001</v>
      </c>
      <c r="I135" s="167">
        <v>136.80000000000001</v>
      </c>
      <c r="J135" s="167">
        <v>131.80000000000001</v>
      </c>
      <c r="K135" s="167">
        <v>134.9</v>
      </c>
      <c r="L135" s="167">
        <v>128.19999999999999</v>
      </c>
      <c r="M135" s="167">
        <v>122.6</v>
      </c>
      <c r="N135" s="167">
        <v>132.9</v>
      </c>
      <c r="O135" s="167">
        <v>129.69999999999999</v>
      </c>
      <c r="P135" s="167">
        <v>125.8</v>
      </c>
      <c r="Q135" s="167">
        <v>129.6</v>
      </c>
      <c r="R135" s="167">
        <v>130.80000000000001</v>
      </c>
      <c r="S135" s="167">
        <v>131.30000000000001</v>
      </c>
      <c r="T135" s="167">
        <v>133.6</v>
      </c>
      <c r="U135" s="167">
        <v>128.19999999999999</v>
      </c>
      <c r="V135" s="167">
        <v>129.9</v>
      </c>
      <c r="W135" s="167">
        <v>125.6</v>
      </c>
      <c r="X135" s="167">
        <v>151.80000000000001</v>
      </c>
      <c r="Y135" s="167">
        <v>136.1</v>
      </c>
    </row>
    <row r="136" spans="1:25">
      <c r="A136" s="1">
        <f t="shared" si="1"/>
        <v>45931</v>
      </c>
      <c r="B136">
        <v>130.5</v>
      </c>
      <c r="C136">
        <v>135.69999999999999</v>
      </c>
      <c r="D136">
        <v>133.30000000000001</v>
      </c>
      <c r="E136">
        <v>117</v>
      </c>
      <c r="F136">
        <v>132.1</v>
      </c>
      <c r="G136">
        <v>134.69999999999999</v>
      </c>
      <c r="H136">
        <v>135.4</v>
      </c>
      <c r="I136">
        <v>136.69999999999999</v>
      </c>
      <c r="J136">
        <v>131.6</v>
      </c>
      <c r="K136">
        <v>134.69999999999999</v>
      </c>
      <c r="L136">
        <v>128</v>
      </c>
      <c r="M136">
        <v>121.7</v>
      </c>
      <c r="N136">
        <v>133.1</v>
      </c>
      <c r="O136">
        <v>129.80000000000001</v>
      </c>
      <c r="P136">
        <v>126</v>
      </c>
      <c r="Q136">
        <v>129.4</v>
      </c>
      <c r="R136">
        <v>130.5</v>
      </c>
      <c r="S136">
        <v>130.9</v>
      </c>
      <c r="T136">
        <v>133.5</v>
      </c>
      <c r="U136">
        <v>128.19999999999999</v>
      </c>
      <c r="V136">
        <v>130</v>
      </c>
      <c r="W136">
        <v>125.4</v>
      </c>
      <c r="X136">
        <v>145.6</v>
      </c>
      <c r="Y136">
        <v>136.4</v>
      </c>
    </row>
    <row r="137" spans="1:25">
      <c r="A137" s="1">
        <f t="shared" si="1"/>
        <v>45962</v>
      </c>
      <c r="B137">
        <v>130.80000000000001</v>
      </c>
      <c r="C137">
        <v>135.80000000000001</v>
      </c>
      <c r="D137">
        <v>133.69999999999999</v>
      </c>
      <c r="E137">
        <v>118.3</v>
      </c>
      <c r="F137">
        <v>132.30000000000001</v>
      </c>
      <c r="G137">
        <v>134.9</v>
      </c>
      <c r="H137">
        <v>135.69999999999999</v>
      </c>
      <c r="I137">
        <v>138.69999999999999</v>
      </c>
      <c r="J137">
        <v>132.1</v>
      </c>
      <c r="K137">
        <v>134.69999999999999</v>
      </c>
      <c r="L137">
        <v>128.4</v>
      </c>
      <c r="M137">
        <v>122.6</v>
      </c>
      <c r="N137">
        <v>133.30000000000001</v>
      </c>
      <c r="O137">
        <v>129.1</v>
      </c>
      <c r="P137">
        <v>126.4</v>
      </c>
      <c r="Q137">
        <v>129.4</v>
      </c>
      <c r="R137">
        <v>130.69999999999999</v>
      </c>
      <c r="S137">
        <v>130.69999999999999</v>
      </c>
      <c r="T137">
        <v>134</v>
      </c>
      <c r="U137">
        <v>128.4</v>
      </c>
      <c r="V137">
        <v>130.1</v>
      </c>
      <c r="W137">
        <v>125.7</v>
      </c>
      <c r="X137">
        <v>146.69999999999999</v>
      </c>
      <c r="Y137">
        <v>137.1</v>
      </c>
    </row>
    <row r="138" spans="1:25">
      <c r="A138" s="1">
        <f t="shared" si="1"/>
        <v>45992</v>
      </c>
      <c r="B138">
        <v>130.30000000000001</v>
      </c>
      <c r="C138">
        <v>136.1</v>
      </c>
      <c r="D138">
        <v>133.1</v>
      </c>
      <c r="E138">
        <v>117.8</v>
      </c>
      <c r="F138">
        <v>132.5</v>
      </c>
      <c r="G138">
        <v>135.19999999999999</v>
      </c>
      <c r="H138">
        <v>136.4</v>
      </c>
      <c r="I138">
        <v>135.6</v>
      </c>
      <c r="J138">
        <v>131</v>
      </c>
      <c r="K138">
        <v>134.69999999999999</v>
      </c>
      <c r="L138">
        <v>127.6</v>
      </c>
      <c r="M138">
        <v>120.5</v>
      </c>
      <c r="N138">
        <v>133.30000000000001</v>
      </c>
      <c r="O138">
        <v>128.5</v>
      </c>
      <c r="P138">
        <v>125.5</v>
      </c>
      <c r="Q138">
        <v>129.1</v>
      </c>
      <c r="R138">
        <v>130.30000000000001</v>
      </c>
      <c r="S138">
        <v>130.4</v>
      </c>
      <c r="T138">
        <v>134.30000000000001</v>
      </c>
      <c r="U138">
        <v>127.7</v>
      </c>
      <c r="V138">
        <v>130.19999999999999</v>
      </c>
      <c r="W138">
        <v>126.1</v>
      </c>
      <c r="X138">
        <v>149.69999999999999</v>
      </c>
      <c r="Y138">
        <v>138.4</v>
      </c>
    </row>
    <row r="139" spans="1:25">
      <c r="A139" s="1">
        <f t="shared" si="1"/>
        <v>46023</v>
      </c>
      <c r="B139" s="170">
        <v>131.4</v>
      </c>
      <c r="C139" s="29">
        <v>137.5</v>
      </c>
      <c r="D139" s="29">
        <v>135.1</v>
      </c>
      <c r="E139" s="29">
        <v>119.7</v>
      </c>
      <c r="F139" s="29">
        <v>134.30000000000001</v>
      </c>
      <c r="G139" s="29">
        <v>136.69999999999999</v>
      </c>
      <c r="H139" s="29">
        <v>138</v>
      </c>
      <c r="I139" s="29">
        <v>138.6</v>
      </c>
      <c r="J139" s="29">
        <v>133.5</v>
      </c>
      <c r="K139" s="29">
        <v>136.80000000000001</v>
      </c>
      <c r="L139" s="29">
        <v>127.8</v>
      </c>
      <c r="M139" s="29">
        <v>119.5</v>
      </c>
      <c r="N139" s="29">
        <v>134.4</v>
      </c>
      <c r="O139" s="29">
        <v>129.30000000000001</v>
      </c>
      <c r="P139" s="29">
        <v>127.2</v>
      </c>
      <c r="Q139" s="29">
        <v>130</v>
      </c>
      <c r="R139" s="29">
        <v>131.4</v>
      </c>
      <c r="S139" s="29">
        <v>130.9</v>
      </c>
      <c r="T139" s="29">
        <v>136.4</v>
      </c>
      <c r="U139" s="29">
        <v>129.80000000000001</v>
      </c>
      <c r="V139" s="29">
        <v>131.19999999999999</v>
      </c>
      <c r="W139" s="29">
        <v>127.4</v>
      </c>
      <c r="X139" s="29">
        <v>147.69999999999999</v>
      </c>
      <c r="Y139" s="29">
        <v>139.69999999999999</v>
      </c>
    </row>
    <row r="140" spans="1:25">
      <c r="A140" s="1">
        <f t="shared" si="1"/>
        <v>46054</v>
      </c>
      <c r="B140">
        <v>132.19999999999999</v>
      </c>
      <c r="C140">
        <v>137.5</v>
      </c>
      <c r="D140">
        <v>135.69999999999999</v>
      </c>
      <c r="E140">
        <v>120.1</v>
      </c>
      <c r="F140">
        <v>134.30000000000001</v>
      </c>
      <c r="G140">
        <v>136.6</v>
      </c>
      <c r="H140">
        <v>137.6</v>
      </c>
      <c r="I140">
        <v>139.30000000000001</v>
      </c>
      <c r="J140">
        <v>134</v>
      </c>
      <c r="K140">
        <v>137.5</v>
      </c>
      <c r="L140">
        <v>129.19999999999999</v>
      </c>
      <c r="M140">
        <v>121.7</v>
      </c>
      <c r="N140">
        <v>134.9</v>
      </c>
      <c r="O140">
        <v>129.5</v>
      </c>
      <c r="P140">
        <v>126.3</v>
      </c>
      <c r="Q140">
        <v>130.6</v>
      </c>
      <c r="R140">
        <v>132.1</v>
      </c>
      <c r="S140">
        <v>131.80000000000001</v>
      </c>
      <c r="T140">
        <v>137.6</v>
      </c>
      <c r="U140">
        <v>127.6</v>
      </c>
      <c r="V140">
        <v>130.80000000000001</v>
      </c>
      <c r="W140">
        <v>127.8</v>
      </c>
      <c r="X140">
        <v>148.9</v>
      </c>
      <c r="Y140">
        <v>139.6</v>
      </c>
    </row>
    <row r="141" spans="1:25" ht="14.25" customHeight="1">
      <c r="A141" s="1">
        <f t="shared" si="1"/>
        <v>46082</v>
      </c>
      <c r="B141">
        <v>136.30000000000001</v>
      </c>
      <c r="C141">
        <v>138.9</v>
      </c>
      <c r="D141">
        <v>141.6</v>
      </c>
      <c r="E141">
        <v>123.3</v>
      </c>
      <c r="F141">
        <v>137.19999999999999</v>
      </c>
      <c r="G141">
        <v>137.9</v>
      </c>
      <c r="H141">
        <v>138.69999999999999</v>
      </c>
      <c r="I141">
        <v>153.19999999999999</v>
      </c>
      <c r="J141">
        <v>143.4</v>
      </c>
      <c r="K141">
        <v>140.80000000000001</v>
      </c>
      <c r="L141">
        <v>134.1</v>
      </c>
      <c r="M141">
        <v>129.1</v>
      </c>
      <c r="N141">
        <v>136.80000000000001</v>
      </c>
      <c r="O141">
        <v>133.4</v>
      </c>
      <c r="P141">
        <v>130.5</v>
      </c>
      <c r="Q141">
        <v>133.1</v>
      </c>
      <c r="R141">
        <v>134.1</v>
      </c>
      <c r="S141">
        <v>134.80000000000001</v>
      </c>
      <c r="T141">
        <v>139.9</v>
      </c>
      <c r="U141">
        <v>132.19999999999999</v>
      </c>
      <c r="V141">
        <v>132.80000000000001</v>
      </c>
      <c r="W141">
        <v>128.6</v>
      </c>
      <c r="X141">
        <v>150.4</v>
      </c>
      <c r="Y141">
        <v>140.80000000000001</v>
      </c>
    </row>
    <row r="142" spans="1:25">
      <c r="A142" s="1">
        <f t="shared" si="1"/>
        <v>46113</v>
      </c>
      <c r="B142">
        <v>141</v>
      </c>
      <c r="C142">
        <v>140.69999999999999</v>
      </c>
      <c r="D142">
        <v>144.4</v>
      </c>
      <c r="E142">
        <v>125.6</v>
      </c>
      <c r="F142">
        <v>139.6</v>
      </c>
      <c r="G142">
        <v>140</v>
      </c>
      <c r="H142">
        <v>140.4</v>
      </c>
      <c r="I142">
        <v>159.9</v>
      </c>
      <c r="J142">
        <v>146.30000000000001</v>
      </c>
      <c r="K142">
        <v>144</v>
      </c>
      <c r="L142">
        <v>141.4</v>
      </c>
      <c r="M142">
        <v>143.9</v>
      </c>
      <c r="N142">
        <v>138.6</v>
      </c>
      <c r="O142">
        <v>146.69999999999999</v>
      </c>
      <c r="P142">
        <v>131.5</v>
      </c>
      <c r="Q142">
        <v>134.69999999999999</v>
      </c>
      <c r="R142">
        <v>137.19999999999999</v>
      </c>
      <c r="S142">
        <v>135.69999999999999</v>
      </c>
      <c r="T142">
        <v>142.5</v>
      </c>
      <c r="U142">
        <v>133.4</v>
      </c>
      <c r="V142">
        <v>134.4</v>
      </c>
      <c r="W142">
        <v>130.69999999999999</v>
      </c>
      <c r="X142">
        <v>153.30000000000001</v>
      </c>
      <c r="Y142">
        <v>141.1</v>
      </c>
    </row>
    <row r="143" spans="1:25">
      <c r="A143" s="1">
        <f t="shared" si="1"/>
        <v>46143</v>
      </c>
      <c r="B143" s="231">
        <v>140.4</v>
      </c>
      <c r="C143" s="231">
        <v>141</v>
      </c>
      <c r="D143" s="231">
        <v>143.1</v>
      </c>
      <c r="E143" s="231">
        <v>126.3</v>
      </c>
      <c r="F143" s="231">
        <v>139.5</v>
      </c>
      <c r="G143" s="231">
        <v>139.80000000000001</v>
      </c>
      <c r="H143" s="231">
        <v>139.9</v>
      </c>
      <c r="I143" s="231">
        <v>155.69999999999999</v>
      </c>
      <c r="J143" s="231">
        <v>143.69999999999999</v>
      </c>
      <c r="K143" s="231">
        <v>143.9</v>
      </c>
      <c r="L143" s="231">
        <v>139.9</v>
      </c>
      <c r="M143" s="231">
        <v>141.9</v>
      </c>
      <c r="N143" s="231">
        <v>138.19999999999999</v>
      </c>
      <c r="O143" s="231">
        <v>146.19999999999999</v>
      </c>
      <c r="P143" s="231">
        <v>131.80000000000001</v>
      </c>
      <c r="Q143" s="232">
        <v>135</v>
      </c>
      <c r="R143" s="232">
        <v>139</v>
      </c>
      <c r="S143" s="231">
        <v>136.9</v>
      </c>
      <c r="T143" s="231">
        <v>142.69999999999999</v>
      </c>
      <c r="U143" s="231">
        <v>133.9</v>
      </c>
      <c r="V143" s="231">
        <v>134.1</v>
      </c>
      <c r="W143" s="231">
        <v>130.80000000000001</v>
      </c>
      <c r="X143" s="231">
        <v>153.80000000000001</v>
      </c>
      <c r="Y143" s="232">
        <v>140.6</v>
      </c>
    </row>
    <row r="144" spans="1:25">
      <c r="A144" s="1"/>
      <c r="R144" s="188"/>
    </row>
  </sheetData>
  <sheetProtection algorithmName="SHA-512" hashValue="jZKndtks6Q1uY8iklhusHKTL3sriwhDxElXoCgYWBDXpgh403FTGqSAsQXjslcohRlGHuz2kcDu9nv23qA2dtw==" saltValue="Q49Js+vqfzHuMaY63FMx+Q==" spinCount="100000" sheet="1" objects="1" scenarios="1"/>
  <phoneticPr fontId="44"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79E00-B852-40F3-92A3-7BD6D9878D5D}">
  <sheetPr codeName="Feuil14">
    <tabColor rgb="FFFF0000"/>
    <pageSetUpPr fitToPage="1"/>
  </sheetPr>
  <dimension ref="A1:P53"/>
  <sheetViews>
    <sheetView showGridLines="0" zoomScale="90" zoomScaleNormal="90" workbookViewId="0">
      <selection activeCell="T7" sqref="T7"/>
    </sheetView>
  </sheetViews>
  <sheetFormatPr baseColWidth="10" defaultRowHeight="15"/>
  <cols>
    <col min="1" max="1" width="21.85546875" customWidth="1"/>
  </cols>
  <sheetData>
    <row r="1" spans="1:16">
      <c r="A1" s="260" t="str">
        <f>"EVOLUTION DES INDEX ET INDICES TP A FIN "&amp;'A MODIFIER'!B4&amp;" EN CUMUL DEPUIS JANVIER"</f>
        <v>EVOLUTION DES INDEX ET INDICES TP A FIN MAI 2026 EN CUMUL DEPUIS JANVIER</v>
      </c>
      <c r="B1" s="260"/>
      <c r="C1" s="260"/>
      <c r="D1" s="260"/>
      <c r="E1" s="260"/>
      <c r="F1" s="260"/>
      <c r="G1" s="260"/>
      <c r="H1" s="260"/>
      <c r="I1" s="260"/>
      <c r="J1" s="260"/>
      <c r="K1" s="260"/>
      <c r="L1" s="260"/>
      <c r="M1" s="260"/>
      <c r="N1" s="260"/>
      <c r="O1" s="260"/>
    </row>
    <row r="2" spans="1:16">
      <c r="A2" s="12" t="str">
        <f>'A MODIFIER'!A5</f>
        <v>*/2025 = Cumul janv 2026-mai 2026 / Cumul janv 2025-mai 2025</v>
      </c>
      <c r="C2" s="12"/>
      <c r="D2" s="12"/>
      <c r="E2" s="12"/>
      <c r="F2" s="12"/>
      <c r="G2" s="12"/>
      <c r="H2" s="12"/>
      <c r="K2" s="12" t="str">
        <f>'A MODIFIER'!A6</f>
        <v>*/2024 = Cumul janv 2026-mai 2026 / Cumul janv 2024-mai 2024</v>
      </c>
      <c r="L2" s="11"/>
      <c r="M2" s="11"/>
      <c r="N2" s="11"/>
    </row>
    <row r="3" spans="1:16">
      <c r="A3" s="45"/>
      <c r="B3" s="11"/>
      <c r="C3" s="11"/>
      <c r="D3" s="11"/>
      <c r="E3" s="11"/>
      <c r="G3" s="11"/>
      <c r="H3" s="11"/>
      <c r="I3" s="11"/>
      <c r="J3" s="11"/>
      <c r="K3" s="11"/>
      <c r="L3" s="11"/>
      <c r="M3" s="11"/>
      <c r="N3" s="11"/>
    </row>
    <row r="4" spans="1:16">
      <c r="A4" s="46" t="s">
        <v>160</v>
      </c>
      <c r="B4" s="47" t="s">
        <v>20</v>
      </c>
      <c r="C4" s="11"/>
      <c r="D4" s="11"/>
      <c r="E4" s="48"/>
      <c r="F4" s="266" t="str">
        <f>B4&amp;" - "&amp;VLOOKUP(B4,'NOMS INDEX'!A1:B26,2,FALSE)</f>
        <v>TP02 - Travaux de génie civil et d’ouvrages d’art neufs ou rénovation</v>
      </c>
      <c r="G4" s="266"/>
      <c r="H4" s="266"/>
      <c r="I4" s="266"/>
      <c r="J4" s="266"/>
      <c r="K4" s="266"/>
      <c r="L4" s="266"/>
      <c r="M4" s="11"/>
      <c r="N4" s="11"/>
    </row>
    <row r="5" spans="1:16">
      <c r="A5" s="48"/>
      <c r="B5" s="48"/>
      <c r="C5" s="48"/>
      <c r="D5" s="48"/>
      <c r="E5" s="48"/>
      <c r="F5" s="11"/>
      <c r="G5" s="49"/>
      <c r="H5" s="49"/>
      <c r="I5" s="11"/>
      <c r="J5" s="11"/>
      <c r="K5" s="11"/>
      <c r="L5" s="11"/>
      <c r="M5" s="11"/>
      <c r="N5" s="11"/>
    </row>
    <row r="6" spans="1:16">
      <c r="A6" s="39" t="str">
        <f>"Evolution du TP01 et du "&amp;$B$4</f>
        <v>Evolution du TP01 et du TP02</v>
      </c>
      <c r="B6" s="39"/>
      <c r="C6" s="39"/>
      <c r="D6" s="39"/>
      <c r="E6" s="39"/>
      <c r="F6" s="39"/>
      <c r="G6" s="50"/>
      <c r="H6" s="50"/>
      <c r="I6" s="50"/>
      <c r="J6" s="11"/>
      <c r="K6" s="264" t="str">
        <f>"Composition globale du "&amp;B4</f>
        <v>Composition globale du TP02</v>
      </c>
      <c r="L6" s="264"/>
      <c r="M6" s="264"/>
      <c r="N6" s="264"/>
      <c r="O6" s="264"/>
    </row>
    <row r="7" spans="1:16">
      <c r="A7" s="11"/>
      <c r="B7" s="11"/>
      <c r="C7" s="11"/>
      <c r="D7" s="11"/>
      <c r="E7" s="11"/>
      <c r="F7" s="11"/>
      <c r="G7" s="49"/>
      <c r="H7" s="49"/>
      <c r="I7" s="49"/>
      <c r="J7" s="11"/>
      <c r="K7" s="11"/>
      <c r="L7" s="11"/>
      <c r="M7" s="11"/>
      <c r="N7" s="11"/>
    </row>
    <row r="8" spans="1:16">
      <c r="A8" s="51"/>
      <c r="B8" s="51"/>
      <c r="C8" s="51"/>
      <c r="D8" s="11"/>
      <c r="E8" s="11"/>
      <c r="F8" s="11"/>
      <c r="G8" s="51"/>
      <c r="H8" s="52" t="str">
        <f>'A MODIFIER'!A9</f>
        <v>*/2024</v>
      </c>
      <c r="I8" s="52" t="str">
        <f>'A MODIFIER'!A10</f>
        <v>*/2025</v>
      </c>
      <c r="J8" s="11"/>
      <c r="K8" s="11"/>
      <c r="L8" s="11"/>
      <c r="M8" s="11"/>
      <c r="N8" s="11"/>
    </row>
    <row r="9" spans="1:16">
      <c r="A9" s="53"/>
      <c r="B9" s="54"/>
      <c r="C9" s="54"/>
      <c r="D9" s="11"/>
      <c r="E9" s="11"/>
      <c r="F9" s="11"/>
      <c r="G9" s="55" t="s">
        <v>19</v>
      </c>
      <c r="H9" s="156">
        <f>VLOOKUP(G9,'EVOL INDEX DEPUIS JANVIER'!A8:D30,4,FALSE)</f>
        <v>4.8153846153845992E-2</v>
      </c>
      <c r="I9" s="156">
        <f>VLOOKUP(G9,'EVOL INDEX DEPUIS JANVIER'!A8:D30,3,FALSE)</f>
        <v>3.5567715458276306E-2</v>
      </c>
      <c r="J9" s="52"/>
      <c r="K9" s="11"/>
      <c r="L9" s="11"/>
      <c r="M9" s="11"/>
      <c r="N9" s="11"/>
      <c r="P9" s="4"/>
    </row>
    <row r="10" spans="1:16">
      <c r="A10" s="11"/>
      <c r="B10" s="11"/>
      <c r="C10" s="11"/>
      <c r="D10" s="11"/>
      <c r="E10" s="11"/>
      <c r="F10" s="11"/>
      <c r="G10" s="57" t="str">
        <f>B4</f>
        <v>TP02</v>
      </c>
      <c r="H10" s="157">
        <f>VLOOKUP(G10,'EVOL INDEX DEPUIS JANVIER'!A8:D31,4,FALSE)</f>
        <v>4.2409710774763631E-2</v>
      </c>
      <c r="I10" s="157">
        <f>VLOOKUP(G10,'EVOL INDEX DEPUIS JANVIER'!A8:D31,3,FALSE)</f>
        <v>2.9146323420624176E-2</v>
      </c>
      <c r="J10" s="56"/>
      <c r="K10" s="11"/>
      <c r="L10" s="11"/>
      <c r="M10" s="11"/>
      <c r="N10" s="11"/>
    </row>
    <row r="11" spans="1:16">
      <c r="A11" s="11"/>
      <c r="B11" s="11"/>
      <c r="C11" s="11"/>
      <c r="D11" s="11"/>
      <c r="E11" s="11"/>
      <c r="F11" s="11"/>
      <c r="G11" s="11"/>
      <c r="H11" s="11"/>
      <c r="I11" s="11"/>
      <c r="J11" s="58"/>
      <c r="K11" s="11"/>
      <c r="L11" s="11"/>
      <c r="M11" s="11"/>
      <c r="N11" s="11"/>
    </row>
    <row r="12" spans="1:16">
      <c r="A12" s="11"/>
      <c r="B12" s="11"/>
      <c r="C12" s="11"/>
      <c r="D12" s="11"/>
      <c r="E12" s="11"/>
      <c r="F12" s="11"/>
      <c r="G12" s="260" t="str">
        <f>"Part du "&amp;B4&amp;" dans le TP01"</f>
        <v>Part du TP02 dans le TP01</v>
      </c>
      <c r="H12" s="260"/>
      <c r="I12" s="260"/>
      <c r="J12" s="11"/>
      <c r="K12" s="11"/>
      <c r="L12" s="11"/>
      <c r="M12" s="11"/>
      <c r="N12" s="11"/>
    </row>
    <row r="13" spans="1:16">
      <c r="A13" s="11"/>
      <c r="B13" s="11"/>
      <c r="C13" s="11"/>
      <c r="D13" s="11"/>
      <c r="E13" s="11"/>
      <c r="F13" s="11"/>
      <c r="G13" s="11"/>
      <c r="H13" s="11"/>
      <c r="I13" s="11"/>
      <c r="J13" s="11"/>
      <c r="K13" s="11"/>
      <c r="L13" s="11"/>
      <c r="M13" s="11"/>
      <c r="N13" s="11"/>
    </row>
    <row r="14" spans="1:16">
      <c r="A14" s="11"/>
      <c r="B14" s="11"/>
      <c r="C14" s="11"/>
      <c r="D14" s="11"/>
      <c r="E14" s="11"/>
      <c r="F14" s="11"/>
      <c r="G14" s="11"/>
      <c r="H14" s="11"/>
      <c r="I14" s="11"/>
      <c r="J14" s="11"/>
      <c r="K14" s="11"/>
      <c r="L14" s="11"/>
      <c r="M14" s="11"/>
      <c r="N14" s="11"/>
    </row>
    <row r="15" spans="1:16">
      <c r="A15" s="59"/>
      <c r="B15" s="11"/>
      <c r="C15" s="11"/>
      <c r="D15" s="11"/>
      <c r="E15" s="11"/>
      <c r="F15" s="11"/>
      <c r="G15" s="52"/>
      <c r="H15" s="11"/>
      <c r="I15" s="11"/>
      <c r="J15" s="11"/>
      <c r="K15" s="11"/>
      <c r="L15" s="11"/>
      <c r="M15" s="11"/>
      <c r="N15" s="11"/>
    </row>
    <row r="16" spans="1:16">
      <c r="A16" s="11"/>
      <c r="B16" s="11"/>
      <c r="C16" s="11"/>
      <c r="D16" s="11"/>
      <c r="E16" s="11"/>
      <c r="F16" s="11"/>
      <c r="G16" s="56"/>
      <c r="H16" s="11"/>
      <c r="I16" s="11"/>
      <c r="J16" s="11"/>
      <c r="K16" s="11"/>
      <c r="L16" s="11"/>
      <c r="M16" s="11"/>
      <c r="N16" s="11"/>
    </row>
    <row r="17" spans="1:15">
      <c r="A17" s="11"/>
      <c r="B17" s="11"/>
      <c r="C17" s="11"/>
      <c r="D17" s="11"/>
      <c r="E17" s="11"/>
      <c r="F17" s="11"/>
      <c r="G17" s="56"/>
      <c r="H17" s="11"/>
      <c r="I17" s="11"/>
      <c r="J17" s="11"/>
      <c r="K17" s="11"/>
      <c r="L17" s="11"/>
      <c r="M17" s="11"/>
      <c r="N17" s="11"/>
    </row>
    <row r="18" spans="1:15">
      <c r="A18" s="265" t="s">
        <v>161</v>
      </c>
      <c r="B18" s="265"/>
      <c r="C18" s="265"/>
      <c r="D18" s="265"/>
      <c r="E18" s="265"/>
      <c r="F18" s="265"/>
      <c r="G18" s="265"/>
      <c r="H18" s="265"/>
      <c r="I18" s="265"/>
      <c r="J18" s="265"/>
      <c r="K18" s="265"/>
      <c r="L18" s="265"/>
      <c r="M18" s="265"/>
      <c r="N18" s="265"/>
      <c r="O18" s="265"/>
    </row>
    <row r="19" spans="1:15" s="162" customFormat="1" ht="20.25" customHeight="1">
      <c r="A19" s="161"/>
      <c r="B19" s="161"/>
      <c r="C19" s="161"/>
      <c r="D19" s="161"/>
      <c r="E19" s="161"/>
      <c r="F19" s="263" t="str">
        <f>'A MODIFIER'!A10</f>
        <v>*/2025</v>
      </c>
      <c r="G19" s="263"/>
      <c r="H19" s="161"/>
      <c r="I19" s="161"/>
      <c r="J19" s="161"/>
      <c r="K19" s="161"/>
      <c r="L19" s="161"/>
      <c r="M19" s="161"/>
      <c r="N19" s="161"/>
    </row>
    <row r="20" spans="1:15" ht="24">
      <c r="A20" s="60"/>
      <c r="B20" s="61" t="str">
        <f>'A MODIFIER'!A9</f>
        <v>*/2024</v>
      </c>
      <c r="C20" s="61" t="str">
        <f>'A MODIFIER'!A10</f>
        <v>*/2025</v>
      </c>
      <c r="D20" s="61" t="str">
        <f>"Part dans le "&amp;B4</f>
        <v>Part dans le TP02</v>
      </c>
      <c r="E20" s="11"/>
      <c r="F20" s="11"/>
      <c r="G20" s="11"/>
      <c r="H20" s="11"/>
      <c r="I20" s="11"/>
      <c r="J20" s="11"/>
      <c r="K20" s="11"/>
      <c r="L20" s="11"/>
      <c r="M20" s="11"/>
      <c r="N20" s="11"/>
    </row>
    <row r="21" spans="1:15">
      <c r="A21" s="62" t="s">
        <v>115</v>
      </c>
      <c r="B21" s="63">
        <f>INDEX('DEPUIS JANVIER'!B45:E85,MATCH('RESULTATS DEPUIS JANVIER'!A21,'DEPUIS JANVIER'!C45:C85,0),MATCH(B20,'DEPUIS JANVIER'!B44:E44,0))</f>
        <v>2.1526104417670666E-2</v>
      </c>
      <c r="C21" s="63">
        <f>INDEX('DEPUIS JANVIER'!B45:E85,MATCH('RESULTATS DEPUIS JANVIER'!A21,'DEPUIS JANVIER'!C45:C85,0),MATCH(C20,'DEPUIS JANVIER'!B44:E44,0))</f>
        <v>1.5490258703289683E-2</v>
      </c>
      <c r="D21" s="64">
        <f>INDEX(compo_index,MATCH('RESULTATS DEPUIS JANVIER'!B4,'COMPOSITION INDEX'!A1:A27,0),MATCH(A21,'COMPOSITION INDEX'!A2:AR2,0))</f>
        <v>0.21</v>
      </c>
      <c r="E21" s="11"/>
      <c r="F21" s="11"/>
      <c r="G21" s="11"/>
      <c r="H21" s="11"/>
      <c r="I21" s="11"/>
      <c r="J21" s="11"/>
      <c r="K21" s="11"/>
      <c r="L21" s="11"/>
      <c r="M21" s="11"/>
      <c r="N21" s="11"/>
    </row>
    <row r="22" spans="1:15">
      <c r="A22" s="62" t="s">
        <v>116</v>
      </c>
      <c r="B22" s="63">
        <f>INDEX('DEPUIS JANVIER'!B45:E85,MATCH('RESULTATS DEPUIS JANVIER'!A22,'DEPUIS JANVIER'!C45:C85,0),MATCH(B20,'DEPUIS JANVIER'!B44:E44,0))</f>
        <v>7.3222071868891625E-2</v>
      </c>
      <c r="C22" s="63">
        <f>INDEX('DEPUIS JANVIER'!B45:E85,MATCH('RESULTATS DEPUIS JANVIER'!A22,'DEPUIS JANVIER'!C45:C85,0),MATCH(C20,'DEPUIS JANVIER'!B44:E44,0))</f>
        <v>3.6595991867557354E-2</v>
      </c>
      <c r="D22" s="64">
        <f>INDEX(compo_index,MATCH('RESULTATS DEPUIS JANVIER'!B4,'COMPOSITION INDEX'!A1:A27,0),MATCH(A22,'COMPOSITION INDEX'!A2:AR2,0))</f>
        <v>0.5</v>
      </c>
      <c r="E22" s="11"/>
      <c r="F22" s="11"/>
      <c r="G22" s="11"/>
      <c r="H22" s="11"/>
      <c r="I22" s="11"/>
      <c r="J22" s="11"/>
      <c r="K22" s="11"/>
      <c r="L22" s="11"/>
      <c r="M22" s="11"/>
      <c r="N22" s="11"/>
    </row>
    <row r="23" spans="1:15">
      <c r="A23" s="65" t="s">
        <v>316</v>
      </c>
      <c r="B23" s="63">
        <f>INDEX('DEPUIS JANVIER'!B45:E85,MATCH('RESULTATS DEPUIS JANVIER'!A23,'DEPUIS JANVIER'!C45:C85,0),MATCH(B20,'DEPUIS JANVIER'!B44:E44,0))</f>
        <v>0.33965587318791468</v>
      </c>
      <c r="C23" s="63">
        <f>INDEX('DEPUIS JANVIER'!B45:E85,MATCH('RESULTATS DEPUIS JANVIER'!A23,'DEPUIS JANVIER'!C45:C85,0),MATCH(C20,'DEPUIS JANVIER'!B44:E44,0))</f>
        <v>0.33730051393021365</v>
      </c>
      <c r="D23" s="64">
        <f>INDEX(compo_index,MATCH('RESULTATS DEPUIS JANVIER'!B4,'COMPOSITION INDEX'!A1:A27,0),MATCH(A23,'COMPOSITION INDEX'!A2:AR2,0))</f>
        <v>0.01</v>
      </c>
      <c r="E23" s="11"/>
      <c r="F23" s="11"/>
      <c r="G23" s="11"/>
      <c r="H23" s="11"/>
      <c r="I23" s="11"/>
      <c r="J23" s="11"/>
      <c r="K23" s="11"/>
      <c r="L23" s="11"/>
      <c r="M23" s="11"/>
      <c r="N23" s="11"/>
    </row>
    <row r="24" spans="1:15">
      <c r="A24" s="62" t="s">
        <v>118</v>
      </c>
      <c r="B24" s="63">
        <f>INDEX('DEPUIS JANVIER'!B45:E85,MATCH('RESULTATS DEPUIS JANVIER'!A24,'DEPUIS JANVIER'!C45:C85,0),MATCH(B20,'DEPUIS JANVIER'!B44:E44,0))</f>
        <v>0.10588603401310426</v>
      </c>
      <c r="C24" s="63">
        <f>INDEX('DEPUIS JANVIER'!B45:E85,MATCH('RESULTATS DEPUIS JANVIER'!A24,'DEPUIS JANVIER'!C45:C85,0),MATCH(C20,'DEPUIS JANVIER'!B44:E44,0))</f>
        <v>0.19374962748097646</v>
      </c>
      <c r="D24" s="64">
        <f>INDEX(compo_index,MATCH('RESULTATS DEPUIS JANVIER'!B4,'COMPOSITION INDEX'!A1:A27,0),MATCH(A24,'COMPOSITION INDEX'!A2:AR2,0))</f>
        <v>0</v>
      </c>
      <c r="E24" s="11"/>
      <c r="F24" s="54"/>
      <c r="G24" s="11"/>
      <c r="H24" s="11"/>
      <c r="I24" s="11"/>
      <c r="J24" s="11"/>
      <c r="K24" s="11"/>
      <c r="L24" s="11"/>
      <c r="M24" s="11"/>
      <c r="N24" s="11"/>
    </row>
    <row r="25" spans="1:15">
      <c r="A25" s="65" t="s">
        <v>119</v>
      </c>
      <c r="B25" s="63">
        <f>INDEX('DEPUIS JANVIER'!B45:E85,MATCH('RESULTATS DEPUIS JANVIER'!A25,'DEPUIS JANVIER'!C45:C85,0),MATCH(B20,'DEPUIS JANVIER'!B44:E44,0))</f>
        <v>1.6992353440951513E-2</v>
      </c>
      <c r="C25" s="63">
        <f>INDEX('DEPUIS JANVIER'!B45:E85,MATCH('RESULTATS DEPUIS JANVIER'!A25,'DEPUIS JANVIER'!C45:C85,0),MATCH(C20,'DEPUIS JANVIER'!B44:E44,0))</f>
        <v>9.6153846153845812E-3</v>
      </c>
      <c r="D25" s="64">
        <f>INDEX(compo_index,MATCH('RESULTATS DEPUIS JANVIER'!B4,'COMPOSITION INDEX'!A1:A27,0),MATCH(A25,'COMPOSITION INDEX'!A2:AR2,0))</f>
        <v>0.01</v>
      </c>
      <c r="E25" s="11"/>
      <c r="F25" s="66"/>
      <c r="G25" s="11"/>
      <c r="H25" s="11"/>
      <c r="I25" s="11"/>
      <c r="J25" s="11"/>
      <c r="K25" s="11"/>
      <c r="L25" s="11"/>
      <c r="M25" s="11"/>
      <c r="N25" s="11"/>
    </row>
    <row r="26" spans="1:15">
      <c r="A26" s="65" t="s">
        <v>162</v>
      </c>
      <c r="B26" s="63">
        <f>INDEX('DEPUIS JANVIER'!B45:E85,MATCH('DONNEES CUMULS DEPUIS JANVIER'!H10,'DEPUIS JANVIER'!C45:C85,0),MATCH(B20,'DEPUIS JANVIER'!B44:E44,0))</f>
        <v>2.6987718164188879E-2</v>
      </c>
      <c r="C26" s="63">
        <f>INDEX('DEPUIS JANVIER'!B45:E85,MATCH('DONNEES CUMULS DEPUIS JANVIER'!H10,'DEPUIS JANVIER'!C45:C85,0),MATCH(C20,'DEPUIS JANVIER'!B44:E44,0))</f>
        <v>2.2526146419951765E-2</v>
      </c>
      <c r="D26" s="64">
        <f>INDEX(compo_index,MATCH('RESULTATS DEPUIS JANVIER'!B4,'COMPOSITION INDEX'!A1:A27,0),MATCH('DONNEES CUMULS DEPUIS JANVIER'!H10,'COMPOSITION INDEX'!A2:AR2,0))</f>
        <v>0.01</v>
      </c>
      <c r="E26" s="11"/>
      <c r="F26" s="11"/>
      <c r="G26" s="11"/>
      <c r="H26" s="11"/>
      <c r="I26" s="11"/>
      <c r="J26" s="11"/>
      <c r="K26" s="11"/>
      <c r="L26" s="11"/>
      <c r="M26" s="11"/>
      <c r="N26" s="11"/>
    </row>
    <row r="27" spans="1:15">
      <c r="A27" s="67" t="s">
        <v>163</v>
      </c>
      <c r="B27" s="68"/>
      <c r="C27" s="69"/>
      <c r="D27" s="70">
        <f>SUM(D21:D26)</f>
        <v>0.74</v>
      </c>
      <c r="E27" s="11"/>
      <c r="F27" s="11"/>
      <c r="G27" s="11"/>
      <c r="H27" s="11"/>
      <c r="I27" s="11"/>
      <c r="J27" s="11"/>
      <c r="K27" s="11"/>
      <c r="L27" s="11"/>
      <c r="M27" s="11"/>
      <c r="N27" s="11"/>
    </row>
    <row r="28" spans="1:15">
      <c r="A28" s="11"/>
      <c r="B28" s="11"/>
      <c r="C28" s="11"/>
      <c r="D28" s="11"/>
      <c r="E28" s="11"/>
      <c r="F28" s="11"/>
      <c r="G28" s="11"/>
      <c r="H28" s="11"/>
      <c r="I28" s="11"/>
      <c r="J28" s="11"/>
      <c r="K28" s="11"/>
      <c r="L28" s="11"/>
      <c r="M28" s="11"/>
      <c r="N28" s="11"/>
    </row>
    <row r="29" spans="1:15">
      <c r="A29" s="71" t="str">
        <f>IF(B4="TP14","Frais divers hors Restaurants et hôtels",IF(OR(B4="TP03a",B4="TP03b",B4="TP12d"),"Travail hors travail activités spécialisées",""))</f>
        <v/>
      </c>
      <c r="B29" s="11"/>
      <c r="C29" s="11"/>
      <c r="D29" s="11"/>
      <c r="E29" s="11"/>
      <c r="F29" s="11"/>
      <c r="G29" s="11"/>
      <c r="H29" s="11"/>
      <c r="I29" s="11"/>
      <c r="J29" s="11"/>
      <c r="K29" s="71"/>
      <c r="L29" s="71"/>
      <c r="M29" s="11"/>
      <c r="N29" s="11"/>
    </row>
    <row r="30" spans="1:15">
      <c r="A30" s="265" t="str">
        <f>"Evolution des indices spécifiques au "&amp;B4</f>
        <v>Evolution des indices spécifiques au TP02</v>
      </c>
      <c r="B30" s="265"/>
      <c r="C30" s="265"/>
      <c r="D30" s="265"/>
      <c r="E30" s="265"/>
      <c r="F30" s="265"/>
      <c r="G30" s="265"/>
      <c r="H30" s="265"/>
      <c r="I30" s="265"/>
      <c r="J30" s="265"/>
      <c r="K30" s="265"/>
      <c r="L30" s="265"/>
      <c r="M30" s="265"/>
      <c r="N30" s="265"/>
      <c r="O30" s="265"/>
    </row>
    <row r="31" spans="1:15" ht="24">
      <c r="A31" s="262" t="s">
        <v>177</v>
      </c>
      <c r="B31" s="262"/>
      <c r="C31" s="262"/>
      <c r="D31" s="262"/>
      <c r="E31" s="262"/>
      <c r="F31" s="262"/>
      <c r="G31" s="72" t="str">
        <f>'A MODIFIER'!A9</f>
        <v>*/2024</v>
      </c>
      <c r="H31" s="72" t="str">
        <f>'A MODIFIER'!A10</f>
        <v>*/2025</v>
      </c>
      <c r="I31" s="72" t="str">
        <f>IF(A32="","","Part dans le "&amp;B4)</f>
        <v>Part dans le TP02</v>
      </c>
      <c r="J31" s="11"/>
      <c r="K31" s="11"/>
      <c r="L31" s="11"/>
      <c r="M31" s="11"/>
      <c r="N31" s="73"/>
    </row>
    <row r="32" spans="1:15">
      <c r="A32" s="74" t="str">
        <f>IF('DONNEES CUMULS DEPUIS JANVIER'!N15&lt;&gt;0,'DONNEES CUMULS DEPUIS JANVIER'!M15,"")</f>
        <v>Travail</v>
      </c>
      <c r="B32" s="11"/>
      <c r="C32" s="11"/>
      <c r="D32" s="11"/>
      <c r="E32" s="11"/>
      <c r="F32" s="11"/>
      <c r="G32" s="63">
        <f>IF('DONNEES CUMULS DEPUIS JANVIER'!N15&lt;&gt;0,VLOOKUP('RESULTATS DEPUIS JANVIER'!A32,'DONNEES CUMULS DEPUIS JANVIER'!Q15:S55,3,FALSE),"")</f>
        <v>7.3222071868891625E-2</v>
      </c>
      <c r="H32" s="63">
        <f>IF('DONNEES CUMULS DEPUIS JANVIER'!N15&lt;&gt;0,VLOOKUP('RESULTATS DEPUIS JANVIER'!A32,'DONNEES CUMULS DEPUIS JANVIER'!Q15:S55,2,FALSE),"")</f>
        <v>3.6595991867557354E-2</v>
      </c>
      <c r="I32" s="145">
        <f>IF('DONNEES CUMULS DEPUIS JANVIER'!N15&lt;&gt;0,'DONNEES CUMULS DEPUIS JANVIER'!N15,"")</f>
        <v>0.5</v>
      </c>
      <c r="J32" s="11"/>
      <c r="K32" s="11"/>
      <c r="L32" s="11"/>
      <c r="M32" s="11"/>
      <c r="N32" s="11"/>
    </row>
    <row r="33" spans="1:14">
      <c r="A33" s="74" t="str">
        <f>IF('DONNEES CUMULS DEPUIS JANVIER'!N16&lt;&gt;0,'DONNEES CUMULS DEPUIS JANVIER'!M16,"")</f>
        <v>Matériel</v>
      </c>
      <c r="B33" s="11"/>
      <c r="C33" s="11"/>
      <c r="D33" s="11"/>
      <c r="E33" s="11"/>
      <c r="F33" s="11"/>
      <c r="G33" s="63">
        <f>IF('DONNEES CUMULS DEPUIS JANVIER'!N16&lt;&gt;0,VLOOKUP('RESULTATS DEPUIS JANVIER'!A33,'DONNEES CUMULS DEPUIS JANVIER'!Q15:S55,3,FALSE),"")</f>
        <v>2.1526104417670666E-2</v>
      </c>
      <c r="H33" s="63">
        <f>IF('DONNEES CUMULS DEPUIS JANVIER'!N16&lt;&gt;0,VLOOKUP('RESULTATS DEPUIS JANVIER'!A33,'DONNEES CUMULS DEPUIS JANVIER'!Q15:S55,2,FALSE),"")</f>
        <v>1.5490258703289683E-2</v>
      </c>
      <c r="I33" s="145">
        <f>IF('DONNEES CUMULS DEPUIS JANVIER'!N16&lt;&gt;0,'DONNEES CUMULS DEPUIS JANVIER'!N16,"")</f>
        <v>0.21</v>
      </c>
      <c r="J33" s="11"/>
      <c r="K33" s="11"/>
      <c r="L33" s="11"/>
      <c r="M33" s="11"/>
      <c r="N33" s="11"/>
    </row>
    <row r="34" spans="1:14">
      <c r="A34" s="74" t="str">
        <f>IF('DONNEES CUMULS DEPUIS JANVIER'!N17&lt;&gt;0,'DONNEES CUMULS DEPUIS JANVIER'!M17,"")</f>
        <v>Béton prêt à l'emploi</v>
      </c>
      <c r="B34" s="11"/>
      <c r="C34" s="11"/>
      <c r="D34" s="11"/>
      <c r="E34" s="11"/>
      <c r="F34" s="11"/>
      <c r="G34" s="63">
        <f>IF('DONNEES CUMULS DEPUIS JANVIER'!N17&lt;&gt;0,VLOOKUP('RESULTATS DEPUIS JANVIER'!A34,'DONNEES CUMULS DEPUIS JANVIER'!Q15:S55,3,FALSE),"")</f>
        <v>4.1377180793577217E-2</v>
      </c>
      <c r="H34" s="63">
        <f>IF('DONNEES CUMULS DEPUIS JANVIER'!N17&lt;&gt;0,VLOOKUP('RESULTATS DEPUIS JANVIER'!A34,'DONNEES CUMULS DEPUIS JANVIER'!Q15:S55,2,FALSE),"")</f>
        <v>3.0242859324881577E-2</v>
      </c>
      <c r="I34" s="145">
        <f>IF('DONNEES CUMULS DEPUIS JANVIER'!N17&lt;&gt;0,'DONNEES CUMULS DEPUIS JANVIER'!N17,"")</f>
        <v>0.12</v>
      </c>
      <c r="J34" s="72"/>
      <c r="K34" s="11"/>
      <c r="L34" s="11"/>
      <c r="M34" s="11"/>
      <c r="N34" s="11"/>
    </row>
    <row r="35" spans="1:14">
      <c r="A35" s="74" t="str">
        <f>IF('DONNEES CUMULS DEPUIS JANVIER'!N18&lt;&gt;0,'DONNEES CUMULS DEPUIS JANVIER'!M18,"")</f>
        <v>Barres crénelées ou nervurées pour béton armé</v>
      </c>
      <c r="B35" s="11"/>
      <c r="C35" s="11"/>
      <c r="D35" s="11"/>
      <c r="E35" s="11"/>
      <c r="F35" s="11"/>
      <c r="G35" s="63">
        <f>IF('DONNEES CUMULS DEPUIS JANVIER'!N18&lt;&gt;0,VLOOKUP('RESULTATS DEPUIS JANVIER'!A35,'DONNEES CUMULS DEPUIS JANVIER'!Q15:S55,3,FALSE),"")</f>
        <v>-1.0657193605683735E-2</v>
      </c>
      <c r="H35" s="63">
        <f>IF('DONNEES CUMULS DEPUIS JANVIER'!N18&lt;&gt;0,VLOOKUP('RESULTATS DEPUIS JANVIER'!A35,'DONNEES CUMULS DEPUIS JANVIER'!Q15:S55,2,FALSE),"")</f>
        <v>1.0889292196007094E-2</v>
      </c>
      <c r="I35" s="145">
        <f>IF('DONNEES CUMULS DEPUIS JANVIER'!N18&lt;&gt;0,'DONNEES CUMULS DEPUIS JANVIER'!N18,"")</f>
        <v>0.1</v>
      </c>
      <c r="J35" s="75"/>
      <c r="K35" s="72"/>
      <c r="L35" s="11"/>
      <c r="M35" s="11"/>
      <c r="N35" s="11"/>
    </row>
    <row r="36" spans="1:14">
      <c r="A36" s="74" t="str">
        <f>IF('DONNEES CUMULS DEPUIS JANVIER'!N19&lt;&gt;0,'DONNEES CUMULS DEPUIS JANVIER'!M19,"")</f>
        <v>GNR pour les Travaux Publics</v>
      </c>
      <c r="B36" s="11"/>
      <c r="C36" s="11"/>
      <c r="D36" s="11"/>
      <c r="E36" s="11"/>
      <c r="F36" s="11"/>
      <c r="G36" s="63">
        <f>IF('DONNEES CUMULS DEPUIS JANVIER'!N19&lt;&gt;0,VLOOKUP('RESULTATS DEPUIS JANVIER'!A36,'DONNEES CUMULS DEPUIS JANVIER'!Q15:S55,3,FALSE),"")</f>
        <v>0.33965587318791468</v>
      </c>
      <c r="H36" s="63">
        <f>IF('DONNEES CUMULS DEPUIS JANVIER'!N19&lt;&gt;0,VLOOKUP('RESULTATS DEPUIS JANVIER'!A36,'DONNEES CUMULS DEPUIS JANVIER'!Q15:S55,2,FALSE),"")</f>
        <v>0.33730051393021365</v>
      </c>
      <c r="I36" s="145">
        <f>IF('DONNEES CUMULS DEPUIS JANVIER'!N19&lt;&gt;0,'DONNEES CUMULS DEPUIS JANVIER'!N19,"")</f>
        <v>0.01</v>
      </c>
      <c r="J36" s="75"/>
      <c r="K36" s="75"/>
      <c r="L36" s="11"/>
      <c r="M36" s="11"/>
      <c r="N36" s="11"/>
    </row>
    <row r="37" spans="1:14">
      <c r="A37" s="74" t="str">
        <f>IF('DONNEES CUMULS DEPUIS JANVIER'!N20&lt;&gt;0,'DONNEES CUMULS DEPUIS JANVIER'!M20,"")</f>
        <v>Frais divers</v>
      </c>
      <c r="B37" s="11"/>
      <c r="C37" s="11"/>
      <c r="D37" s="11"/>
      <c r="E37" s="11"/>
      <c r="F37" s="11"/>
      <c r="G37" s="63">
        <f>IF('DONNEES CUMULS DEPUIS JANVIER'!N20&lt;&gt;0,VLOOKUP('RESULTATS DEPUIS JANVIER'!A37,'DONNEES CUMULS DEPUIS JANVIER'!Q15:S55,3,FALSE),"")</f>
        <v>1.6992353440951513E-2</v>
      </c>
      <c r="H37" s="63">
        <f>IF('DONNEES CUMULS DEPUIS JANVIER'!N20&lt;&gt;0,VLOOKUP('RESULTATS DEPUIS JANVIER'!A37,'DONNEES CUMULS DEPUIS JANVIER'!Q15:S55,2,FALSE),"")</f>
        <v>9.6153846153845812E-3</v>
      </c>
      <c r="I37" s="145">
        <f>IF('DONNEES CUMULS DEPUIS JANVIER'!N20&lt;&gt;0,'DONNEES CUMULS DEPUIS JANVIER'!N20,"")</f>
        <v>0.01</v>
      </c>
      <c r="J37" s="75"/>
      <c r="K37" s="75"/>
      <c r="L37" s="11"/>
      <c r="M37" s="11"/>
      <c r="N37" s="11"/>
    </row>
    <row r="38" spans="1:14">
      <c r="A38" s="74" t="str">
        <f>IF('DONNEES CUMULS DEPUIS JANVIER'!N21&lt;&gt;0,'DONNEES CUMULS DEPUIS JANVIER'!M21,"")</f>
        <v>Transports routiers</v>
      </c>
      <c r="B38" s="11"/>
      <c r="C38" s="11"/>
      <c r="D38" s="11"/>
      <c r="E38" s="11"/>
      <c r="F38" s="11"/>
      <c r="G38" s="63">
        <f>IF('DONNEES CUMULS DEPUIS JANVIER'!N21&lt;&gt;0,VLOOKUP('RESULTATS DEPUIS JANVIER'!A38,'DONNEES CUMULS DEPUIS JANVIER'!Q15:S55,3,FALSE),"")</f>
        <v>2.6987718164188879E-2</v>
      </c>
      <c r="H38" s="63">
        <f>IF('DONNEES CUMULS DEPUIS JANVIER'!N21&lt;&gt;0,VLOOKUP('RESULTATS DEPUIS JANVIER'!A38,'DONNEES CUMULS DEPUIS JANVIER'!Q15:S55,2,FALSE),"")</f>
        <v>2.2526146419951765E-2</v>
      </c>
      <c r="I38" s="145">
        <f>IF('DONNEES CUMULS DEPUIS JANVIER'!N21&lt;&gt;0,'DONNEES CUMULS DEPUIS JANVIER'!N21,"")</f>
        <v>0.01</v>
      </c>
      <c r="J38" s="75"/>
      <c r="K38" s="75"/>
      <c r="L38" s="11"/>
      <c r="M38" s="11"/>
      <c r="N38" s="11"/>
    </row>
    <row r="39" spans="1:14">
      <c r="A39" s="74" t="str">
        <f>IF('DONNEES CUMULS DEPUIS JANVIER'!N22&lt;&gt;0,'DONNEES CUMULS DEPUIS JANVIER'!M22,"")</f>
        <v>Électricité vendue aux entreprises consommatrices finales</v>
      </c>
      <c r="B39" s="11"/>
      <c r="C39" s="11"/>
      <c r="D39" s="11"/>
      <c r="E39" s="11"/>
      <c r="F39" s="11"/>
      <c r="G39" s="63">
        <f>IF('DONNEES CUMULS DEPUIS JANVIER'!N22&lt;&gt;0,VLOOKUP('RESULTATS DEPUIS JANVIER'!A39,'DONNEES CUMULS DEPUIS JANVIER'!Q15:S55,3,FALSE),"")</f>
        <v>-0.22972819288070045</v>
      </c>
      <c r="H39" s="63">
        <f>IF('DONNEES CUMULS DEPUIS JANVIER'!N22&lt;&gt;0,VLOOKUP('RESULTATS DEPUIS JANVIER'!A39,'DONNEES CUMULS DEPUIS JANVIER'!Q15:S55,2,FALSE),"")</f>
        <v>-9.5969033635878054E-2</v>
      </c>
      <c r="I39" s="145">
        <f>IF('DONNEES CUMULS DEPUIS JANVIER'!N22&lt;&gt;0,'DONNEES CUMULS DEPUIS JANVIER'!N22,"")</f>
        <v>0.01</v>
      </c>
      <c r="J39" s="75"/>
      <c r="K39" s="75"/>
      <c r="L39" s="11"/>
      <c r="M39" s="11"/>
      <c r="N39" s="11"/>
    </row>
    <row r="40" spans="1:14">
      <c r="A40" s="74" t="str">
        <f>IF('DONNEES CUMULS DEPUIS JANVIER'!N23&lt;&gt;0,'DONNEES CUMULS DEPUIS JANVIER'!M23,"")</f>
        <v>Tubes, tuyaux en matière plastique</v>
      </c>
      <c r="B40" s="11"/>
      <c r="C40" s="11"/>
      <c r="D40" s="11"/>
      <c r="E40" s="11"/>
      <c r="F40" s="11"/>
      <c r="G40" s="63">
        <f>IF('DONNEES CUMULS DEPUIS JANVIER'!N23&lt;&gt;0,VLOOKUP('RESULTATS DEPUIS JANVIER'!A40,'DONNEES CUMULS DEPUIS JANVIER'!Q15:S55,3,FALSE),"")</f>
        <v>-3.7671877943101784E-4</v>
      </c>
      <c r="H40" s="63">
        <f>IF('DONNEES CUMULS DEPUIS JANVIER'!N23&lt;&gt;0,VLOOKUP('RESULTATS DEPUIS JANVIER'!A40,'DONNEES CUMULS DEPUIS JANVIER'!Q15:S55,2,FALSE),"")</f>
        <v>4.6745562130177554E-2</v>
      </c>
      <c r="I40" s="145">
        <f>IF('DONNEES CUMULS DEPUIS JANVIER'!N23&lt;&gt;0,'DONNEES CUMULS DEPUIS JANVIER'!N23,"")</f>
        <v>0.01</v>
      </c>
      <c r="J40" s="76" t="str">
        <f>IF(OR(A32="Travail activités spécialisées",A32="Fils et câbles d'énergie",A32="Tuyaux d'assainissement"),"juillet 2021 = juin 2021","")</f>
        <v/>
      </c>
      <c r="K40" s="75"/>
      <c r="L40" s="11"/>
      <c r="M40" s="77"/>
      <c r="N40" s="11"/>
    </row>
    <row r="41" spans="1:14">
      <c r="A41" s="74" t="str">
        <f>IF('DONNEES CUMULS DEPUIS JANVIER'!N24&lt;&gt;0,'DONNEES CUMULS DEPUIS JANVIER'!M24,"")</f>
        <v>Ensemble des produits du sciage</v>
      </c>
      <c r="G41" s="63">
        <f>IF('DONNEES CUMULS DEPUIS JANVIER'!N24&lt;&gt;0,VLOOKUP('RESULTATS DEPUIS JANVIER'!A41,'DONNEES CUMULS DEPUIS JANVIER'!Q15:S55,3,FALSE),"")</f>
        <v>6.7524715538145985E-2</v>
      </c>
      <c r="H41" s="63">
        <f>IF('DONNEES CUMULS DEPUIS JANVIER'!N24&lt;&gt;0,VLOOKUP('RESULTATS DEPUIS JANVIER'!A41,'DONNEES CUMULS DEPUIS JANVIER'!Q15:S55,2,FALSE),"")</f>
        <v>2.7468581687612348E-2</v>
      </c>
      <c r="I41" s="145">
        <f>IF('DONNEES CUMULS DEPUIS JANVIER'!N24&lt;&gt;0,'DONNEES CUMULS DEPUIS JANVIER'!N24,"")</f>
        <v>0.01</v>
      </c>
    </row>
    <row r="42" spans="1:14">
      <c r="A42" s="86" t="str">
        <f>IF('DONNEES CUMULS DEPUIS JANVIER'!N25&lt;&gt;0,'DONNEES CUMULS DEPUIS JANVIER'!M25,"")</f>
        <v>Traitement et élimination des déchets non dangereux</v>
      </c>
      <c r="G42" s="63">
        <f>IF('DONNEES CUMULS DEPUIS JANVIER'!N25&lt;&gt;0,VLOOKUP('RESULTATS DEPUIS JANVIER'!A42,'DONNEES CUMULS DEPUIS JANVIER'!Q15:S55,3,FALSE),"")</f>
        <v>2.7672085783466027E-2</v>
      </c>
      <c r="H42" s="63">
        <f>IF('DONNEES CUMULS DEPUIS JANVIER'!N25&lt;&gt;0,VLOOKUP('RESULTATS DEPUIS JANVIER'!A42,'DONNEES CUMULS DEPUIS JANVIER'!Q15:S55,2,FALSE),"")</f>
        <v>4.3948613928330715E-3</v>
      </c>
      <c r="I42" s="145">
        <f>IF('DONNEES CUMULS DEPUIS JANVIER'!N25&lt;&gt;0,'DONNEES CUMULS DEPUIS JANVIER'!N25,"")</f>
        <v>0.01</v>
      </c>
    </row>
    <row r="43" spans="1:14">
      <c r="A43" s="86" t="str">
        <f>IF('DONNEES CUMULS DEPUIS JANVIER'!N26&lt;&gt;0,'DONNEES CUMULS DEPUIS JANVIER'!M26,"")</f>
        <v/>
      </c>
      <c r="G43" s="63" t="str">
        <f>IF('DONNEES CUMULS DEPUIS JANVIER'!N26&lt;&gt;0,VLOOKUP('RESULTATS DEPUIS JANVIER'!A43,'DONNEES CUMULS DEPUIS JANVIER'!Q15:S55,3,FALSE),"")</f>
        <v/>
      </c>
      <c r="H43" s="63" t="str">
        <f>IF('DONNEES CUMULS DEPUIS JANVIER'!N26&lt;&gt;0,VLOOKUP('RESULTATS DEPUIS JANVIER'!A43,'DONNEES CUMULS DEPUIS JANVIER'!Q15:S55,2,FALSE),"")</f>
        <v/>
      </c>
      <c r="I43" s="145" t="str">
        <f>IF('DONNEES CUMULS DEPUIS JANVIER'!N26&lt;&gt;0,'DONNEES CUMULS DEPUIS JANVIER'!N26,"")</f>
        <v/>
      </c>
    </row>
    <row r="44" spans="1:14">
      <c r="A44" s="86" t="str">
        <f>IF('DONNEES CUMULS DEPUIS JANVIER'!N27&lt;&gt;0,'DONNEES CUMULS DEPUIS JANVIER'!M27,"")</f>
        <v/>
      </c>
      <c r="G44" s="63" t="str">
        <f>IF('DONNEES CUMULS DEPUIS JANVIER'!N27&lt;&gt;0,VLOOKUP('RESULTATS DEPUIS JANVIER'!A44,'DONNEES CUMULS DEPUIS JANVIER'!Q16:S56,3,FALSE),"")</f>
        <v/>
      </c>
      <c r="H44" s="63" t="str">
        <f>IF('DONNEES CUMULS DEPUIS JANVIER'!N27&lt;&gt;0,VLOOKUP('RESULTATS DEPUIS JANVIER'!A44,'DONNEES CUMULS DEPUIS JANVIER'!Q16:S56,2,FALSE),"")</f>
        <v/>
      </c>
      <c r="I44" s="145" t="str">
        <f>IF('DONNEES CUMULS DEPUIS JANVIER'!N27&lt;&gt;0,'DONNEES CUMULS DEPUIS JANVIER'!N27,"")</f>
        <v/>
      </c>
    </row>
    <row r="45" spans="1:14">
      <c r="A45" s="86" t="str">
        <f>IF('DONNEES CUMULS DEPUIS JANVIER'!N28&lt;&gt;0,'DONNEES CUMULS DEPUIS JANVIER'!M28,"")</f>
        <v/>
      </c>
      <c r="G45" s="63" t="str">
        <f>IF('DONNEES CUMULS DEPUIS JANVIER'!N28&lt;&gt;0,VLOOKUP('RESULTATS DEPUIS JANVIER'!A45,'DONNEES CUMULS DEPUIS JANVIER'!Q17:S57,3,FALSE),"")</f>
        <v/>
      </c>
      <c r="H45" s="63" t="str">
        <f>IF('DONNEES CUMULS DEPUIS JANVIER'!N28&lt;&gt;0,VLOOKUP('RESULTATS DEPUIS JANVIER'!A45,'DONNEES CUMULS DEPUIS JANVIER'!Q17:S57,2,FALSE),"")</f>
        <v/>
      </c>
      <c r="I45" s="145" t="str">
        <f>IF('DONNEES CUMULS DEPUIS JANVIER'!N28&lt;&gt;0,'DONNEES CUMULS DEPUIS JANVIER'!N28,"")</f>
        <v/>
      </c>
    </row>
    <row r="46" spans="1:14">
      <c r="A46" s="86" t="str">
        <f>IF('DONNEES CUMULS DEPUIS JANVIER'!N29&lt;&gt;0,'DONNEES CUMULS DEPUIS JANVIER'!M29,"")</f>
        <v/>
      </c>
      <c r="G46" s="63" t="str">
        <f>IF('DONNEES CUMULS DEPUIS JANVIER'!N29&lt;&gt;0,VLOOKUP('RESULTATS DEPUIS JANVIER'!A46,'DONNEES CUMULS DEPUIS JANVIER'!Q18:S58,3,FALSE),"")</f>
        <v/>
      </c>
      <c r="H46" s="63" t="str">
        <f>IF('DONNEES CUMULS DEPUIS JANVIER'!N29&lt;&gt;0,VLOOKUP('RESULTATS DEPUIS JANVIER'!A46,'DONNEES CUMULS DEPUIS JANVIER'!Q18:S58,2,FALSE),"")</f>
        <v/>
      </c>
      <c r="I46" s="145" t="str">
        <f>IF('DONNEES CUMULS DEPUIS JANVIER'!N29&lt;&gt;0,'DONNEES CUMULS DEPUIS JANVIER'!N29,"")</f>
        <v/>
      </c>
    </row>
    <row r="47" spans="1:14">
      <c r="A47" s="86" t="str">
        <f>IF('DONNEES CUMULS DEPUIS JANVIER'!N30&lt;&gt;0,'DONNEES CUMULS DEPUIS JANVIER'!M30,"")</f>
        <v/>
      </c>
      <c r="G47" s="63" t="str">
        <f>IF('DONNEES CUMULS DEPUIS JANVIER'!N30&lt;&gt;0,VLOOKUP('RESULTATS DEPUIS JANVIER'!A47,'DONNEES CUMULS DEPUIS JANVIER'!Q19:S59,3,FALSE),"")</f>
        <v/>
      </c>
      <c r="H47" s="63" t="str">
        <f>IF('DONNEES CUMULS DEPUIS JANVIER'!N30&lt;&gt;0,VLOOKUP('RESULTATS DEPUIS JANVIER'!A47,'DONNEES CUMULS DEPUIS JANVIER'!Q19:S59,2,FALSE),"")</f>
        <v/>
      </c>
      <c r="I47" s="145" t="str">
        <f>IF('DONNEES CUMULS DEPUIS JANVIER'!N30&lt;&gt;0,'DONNEES CUMULS DEPUIS JANVIER'!N30,"")</f>
        <v/>
      </c>
    </row>
    <row r="48" spans="1:14">
      <c r="A48" s="86" t="str">
        <f>IF('DONNEES CUMULS DEPUIS JANVIER'!N31&lt;&gt;0,'DONNEES CUMULS DEPUIS JANVIER'!M31,"")</f>
        <v/>
      </c>
      <c r="G48" s="63" t="str">
        <f>IF('DONNEES CUMULS DEPUIS JANVIER'!N31&lt;&gt;0,VLOOKUP('RESULTATS DEPUIS JANVIER'!A48,'DONNEES CUMULS DEPUIS JANVIER'!Q20:S60,3,FALSE),"")</f>
        <v/>
      </c>
      <c r="H48" s="63" t="str">
        <f>IF('DONNEES CUMULS DEPUIS JANVIER'!N31&lt;&gt;0,VLOOKUP('RESULTATS DEPUIS JANVIER'!A48,'DONNEES CUMULS DEPUIS JANVIER'!Q20:S60,2,FALSE),"")</f>
        <v/>
      </c>
      <c r="I48" s="145" t="str">
        <f>IF('DONNEES CUMULS DEPUIS JANVIER'!N31&lt;&gt;0,'DONNEES CUMULS DEPUIS JANVIER'!N31,"")</f>
        <v/>
      </c>
    </row>
    <row r="49" spans="1:9">
      <c r="A49" s="86" t="str">
        <f>IF('DONNEES CUMULS DEPUIS JANVIER'!N32&lt;&gt;0,'DONNEES CUMULS DEPUIS JANVIER'!M32,"")</f>
        <v/>
      </c>
      <c r="G49" s="63" t="str">
        <f>IF('DONNEES CUMULS DEPUIS JANVIER'!N32&lt;&gt;0,VLOOKUP('RESULTATS DEPUIS JANVIER'!A49,'DONNEES CUMULS DEPUIS JANVIER'!Q21:S61,3,FALSE),"")</f>
        <v/>
      </c>
      <c r="H49" s="63" t="str">
        <f>IF('DONNEES CUMULS DEPUIS JANVIER'!N32&lt;&gt;0,VLOOKUP('RESULTATS DEPUIS JANVIER'!A49,'DONNEES CUMULS DEPUIS JANVIER'!Q21:S61,2,FALSE),"")</f>
        <v/>
      </c>
      <c r="I49" s="145" t="str">
        <f>IF('DONNEES CUMULS DEPUIS JANVIER'!N32&lt;&gt;0,'DONNEES CUMULS DEPUIS JANVIER'!N32,"")</f>
        <v/>
      </c>
    </row>
    <row r="50" spans="1:9">
      <c r="A50" s="86" t="str">
        <f>IF('DONNEES CUMULS DEPUIS JANVIER'!N33&lt;&gt;0,'DONNEES CUMULS DEPUIS JANVIER'!M33,"")</f>
        <v/>
      </c>
      <c r="G50" s="63" t="str">
        <f>IF('DONNEES CUMULS DEPUIS JANVIER'!N33&lt;&gt;0,VLOOKUP('RESULTATS DEPUIS JANVIER'!A50,'DONNEES CUMULS DEPUIS JANVIER'!Q22:S62,3,FALSE),"")</f>
        <v/>
      </c>
      <c r="H50" s="63" t="str">
        <f>IF('DONNEES CUMULS DEPUIS JANVIER'!N33&lt;&gt;0,VLOOKUP('RESULTATS DEPUIS JANVIER'!A50,'DONNEES CUMULS DEPUIS JANVIER'!Q22:S62,2,FALSE),"")</f>
        <v/>
      </c>
      <c r="I50" s="145"/>
    </row>
    <row r="51" spans="1:9">
      <c r="A51" s="86" t="str">
        <f>IF('DONNEES CUMULS DEPUIS JANVIER'!N34&lt;&gt;0,'DONNEES CUMULS DEPUIS JANVIER'!M34,"")</f>
        <v/>
      </c>
      <c r="G51" s="63" t="str">
        <f>IF('DONNEES CUMULS DEPUIS JANVIER'!N34&lt;&gt;0,VLOOKUP('RESULTATS DEPUIS JANVIER'!A51,'DONNEES CUMULS DEPUIS JANVIER'!Q23:S63,3,FALSE),"")</f>
        <v/>
      </c>
      <c r="H51" s="63" t="str">
        <f>IF('DONNEES CUMULS DEPUIS JANVIER'!N34&lt;&gt;0,VLOOKUP('RESULTATS DEPUIS JANVIER'!A51,'DONNEES CUMULS DEPUIS JANVIER'!Q23:S63,2,FALSE),"")</f>
        <v/>
      </c>
      <c r="I51" s="145" t="str">
        <f>IF('DONNEES CUMULS DEPUIS JANVIER'!N34&lt;&gt;0,'DONNEES CUMULS DEPUIS JANVIER'!N34,"")</f>
        <v/>
      </c>
    </row>
    <row r="52" spans="1:9">
      <c r="A52" s="86" t="str">
        <f>IF('DONNEES CUMULS DEPUIS JANVIER'!N35&lt;&gt;0,'DONNEES CUMULS DEPUIS JANVIER'!M35,"")</f>
        <v/>
      </c>
      <c r="G52" s="63" t="str">
        <f>IF('DONNEES CUMULS DEPUIS JANVIER'!N35&lt;&gt;0,VLOOKUP('RESULTATS DEPUIS JANVIER'!A52,'DONNEES CUMULS DEPUIS JANVIER'!Q24:S64,3,FALSE),"")</f>
        <v/>
      </c>
      <c r="H52" s="63" t="str">
        <f>IF('DONNEES CUMULS DEPUIS JANVIER'!N35&lt;&gt;0,VLOOKUP('RESULTATS DEPUIS JANVIER'!A52,'DONNEES CUMULS DEPUIS JANVIER'!Q24:S64,2,FALSE),"")</f>
        <v/>
      </c>
      <c r="I52" s="145" t="str">
        <f>IF('DONNEES CUMULS DEPUIS JANVIER'!N35&lt;&gt;0,'DONNEES CUMULS DEPUIS JANVIER'!N35,"")</f>
        <v/>
      </c>
    </row>
    <row r="53" spans="1:9">
      <c r="A53" s="86" t="str">
        <f>IF('DONNEES CUMULS DEPUIS JANVIER'!N36&lt;&gt;0,'DONNEES CUMULS DEPUIS JANVIER'!M36,"")</f>
        <v/>
      </c>
      <c r="G53" s="63" t="str">
        <f>IF('DONNEES CUMULS DEPUIS JANVIER'!N36&lt;&gt;0,VLOOKUP('RESULTATS DEPUIS JANVIER'!A53,'DONNEES CUMULS DEPUIS JANVIER'!Q25:S65,3,FALSE),"")</f>
        <v/>
      </c>
      <c r="H53" s="63" t="str">
        <f>IF('DONNEES CUMULS DEPUIS JANVIER'!N36&lt;&gt;0,VLOOKUP('RESULTATS DEPUIS JANVIER'!A53,'DONNEES CUMULS DEPUIS JANVIER'!Q25:S65,2,FALSE),"")</f>
        <v/>
      </c>
      <c r="I53" s="145" t="str">
        <f>IF('DONNEES CUMULS DEPUIS JANVIER'!N36&lt;&gt;0,'DONNEES CUMULS DEPUIS JANVIER'!N36,"")</f>
        <v/>
      </c>
    </row>
  </sheetData>
  <mergeCells count="8">
    <mergeCell ref="A31:F31"/>
    <mergeCell ref="G12:I12"/>
    <mergeCell ref="F19:G19"/>
    <mergeCell ref="A1:O1"/>
    <mergeCell ref="K6:O6"/>
    <mergeCell ref="A18:O18"/>
    <mergeCell ref="A30:O30"/>
    <mergeCell ref="F4:L4"/>
  </mergeCells>
  <dataValidations count="1">
    <dataValidation type="list" allowBlank="1" showInputMessage="1" showErrorMessage="1" sqref="B4" xr:uid="{5EA45B49-E445-4AB3-B11A-533FFF6C863E}">
      <formula1>nomsindextp</formula1>
    </dataValidation>
  </dataValidations>
  <pageMargins left="0.7" right="0.7" top="0.75" bottom="0.75" header="0.3" footer="0.3"/>
  <pageSetup paperSize="9" scale="71"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23EAF-CBDD-4846-8B84-5AC4B2B46F67}">
  <sheetPr codeName="Feuil23">
    <tabColor rgb="FFFF0000"/>
    <pageSetUpPr fitToPage="1"/>
  </sheetPr>
  <dimension ref="A1:O49"/>
  <sheetViews>
    <sheetView showGridLines="0" zoomScale="80" zoomScaleNormal="80" workbookViewId="0">
      <selection activeCell="C3" sqref="C3"/>
    </sheetView>
  </sheetViews>
  <sheetFormatPr baseColWidth="10" defaultRowHeight="15"/>
  <cols>
    <col min="1" max="1" width="33.42578125" customWidth="1"/>
  </cols>
  <sheetData>
    <row r="1" spans="1:15">
      <c r="A1" s="260" t="str">
        <f>"EVOLUTION DES INDEX ET INDICES TP A FIN "&amp;'A MODIFIER'!B4&amp;"  EN GLISSEMENT 3 MOIS ET 6 MOIS"</f>
        <v>EVOLUTION DES INDEX ET INDICES TP A FIN MAI 2026  EN GLISSEMENT 3 MOIS ET 6 MOIS</v>
      </c>
      <c r="B1" s="260"/>
      <c r="C1" s="260"/>
      <c r="D1" s="260"/>
      <c r="E1" s="260"/>
      <c r="F1" s="260"/>
      <c r="G1" s="260"/>
      <c r="H1" s="260"/>
      <c r="I1" s="260"/>
      <c r="J1" s="260"/>
      <c r="K1" s="260"/>
      <c r="L1" s="260"/>
      <c r="M1" s="260"/>
      <c r="N1" s="260"/>
      <c r="O1" s="260"/>
    </row>
    <row r="2" spans="1:15">
      <c r="A2" s="12" t="str">
        <f>'A MODIFIER'!A7</f>
        <v>*3 mois = Cumul mars 2026-mai 2026 / Cumul déc 2025-févr 2026</v>
      </c>
      <c r="C2" s="12"/>
      <c r="D2" s="12"/>
      <c r="E2" s="12"/>
      <c r="F2" s="12"/>
      <c r="G2" s="12"/>
      <c r="H2" s="12"/>
      <c r="K2" s="12" t="str">
        <f>'A MODIFIER'!A8</f>
        <v>*6 mois = Cumul déc 2025-mai 2026 / Cumul juin 2025-nov 2025</v>
      </c>
      <c r="N2" s="11"/>
    </row>
    <row r="3" spans="1:15">
      <c r="A3" s="45"/>
      <c r="B3" s="11"/>
      <c r="C3" s="11"/>
      <c r="D3" s="11"/>
      <c r="E3" s="11"/>
      <c r="G3" s="11"/>
      <c r="H3" s="11"/>
      <c r="I3" s="11"/>
      <c r="J3" s="11"/>
      <c r="L3" s="11"/>
      <c r="M3" s="11"/>
      <c r="N3" s="11"/>
    </row>
    <row r="4" spans="1:15">
      <c r="A4" s="46" t="s">
        <v>160</v>
      </c>
      <c r="B4" s="47" t="s">
        <v>20</v>
      </c>
      <c r="C4" s="11"/>
      <c r="D4" s="11"/>
      <c r="E4" s="48"/>
      <c r="F4" s="266" t="str">
        <f>B4&amp;" - "&amp;VLOOKUP(B4,'NOMS INDEX'!A1:B26,2,FALSE)</f>
        <v>TP02 - Travaux de génie civil et d’ouvrages d’art neufs ou rénovation</v>
      </c>
      <c r="G4" s="266"/>
      <c r="H4" s="266"/>
      <c r="I4" s="266"/>
      <c r="J4" s="266"/>
      <c r="K4" s="266"/>
      <c r="L4" s="266"/>
      <c r="M4" s="11"/>
      <c r="N4" s="11"/>
    </row>
    <row r="5" spans="1:15">
      <c r="A5" s="48"/>
      <c r="B5" s="48"/>
      <c r="C5" s="48"/>
      <c r="D5" s="48"/>
      <c r="E5" s="48"/>
      <c r="F5" s="11"/>
      <c r="G5" s="49"/>
      <c r="H5" s="49"/>
      <c r="I5" s="11"/>
      <c r="J5" s="11"/>
      <c r="K5" s="11"/>
      <c r="L5" s="11"/>
      <c r="M5" s="11"/>
      <c r="N5" s="11"/>
    </row>
    <row r="6" spans="1:15">
      <c r="A6" s="39" t="str">
        <f>"Evolution du TP01 et du "&amp;$B$4</f>
        <v>Evolution du TP01 et du TP02</v>
      </c>
      <c r="B6" s="39"/>
      <c r="C6" s="39"/>
      <c r="D6" s="39"/>
      <c r="E6" s="39"/>
      <c r="F6" s="39"/>
      <c r="G6" s="50"/>
      <c r="H6" s="50"/>
      <c r="I6" s="50"/>
      <c r="J6" s="11"/>
      <c r="K6" s="265" t="str">
        <f>"Composition globale du "&amp;B4</f>
        <v>Composition globale du TP02</v>
      </c>
      <c r="L6" s="265"/>
      <c r="M6" s="265"/>
      <c r="N6" s="265"/>
      <c r="O6" s="265"/>
    </row>
    <row r="7" spans="1:15">
      <c r="A7" s="11"/>
      <c r="B7" s="11"/>
      <c r="C7" s="11"/>
      <c r="D7" s="11"/>
      <c r="E7" s="11"/>
      <c r="F7" s="11"/>
      <c r="G7" s="49"/>
      <c r="H7" s="49"/>
      <c r="I7" s="49"/>
      <c r="J7" s="11"/>
      <c r="K7" s="11"/>
      <c r="L7" s="11"/>
      <c r="M7" s="11"/>
      <c r="N7" s="11"/>
    </row>
    <row r="8" spans="1:15">
      <c r="A8" s="51"/>
      <c r="B8" s="51"/>
      <c r="C8" s="51"/>
      <c r="D8" s="11"/>
      <c r="E8" s="11"/>
      <c r="F8" s="11"/>
      <c r="G8" s="51"/>
      <c r="H8" s="52" t="str">
        <f>'A MODIFIER'!A11</f>
        <v>*3 mois</v>
      </c>
      <c r="I8" s="52" t="str">
        <f>'A MODIFIER'!A12</f>
        <v>*6 mois</v>
      </c>
      <c r="J8" s="11"/>
      <c r="K8" s="11"/>
      <c r="L8" s="11"/>
      <c r="M8" s="11"/>
      <c r="N8" s="11"/>
    </row>
    <row r="9" spans="1:15">
      <c r="A9" s="53"/>
      <c r="B9" s="54"/>
      <c r="C9" s="54"/>
      <c r="D9" s="11"/>
      <c r="E9" s="11"/>
      <c r="F9" s="11"/>
      <c r="G9" s="55" t="s">
        <v>19</v>
      </c>
      <c r="H9" s="156">
        <f>VLOOKUP(G9,'EVOL INDEX 3-6 MOIS GLISSANTS'!A8:D30,3,FALSE)</f>
        <v>6.0421426758060504E-2</v>
      </c>
      <c r="I9" s="156">
        <f>VLOOKUP(G9,'EVOL INDEX 3-6 MOIS GLISSANTS'!A8:D30,4,FALSE)</f>
        <v>3.4017072238502033E-2</v>
      </c>
      <c r="J9" s="52"/>
      <c r="K9" s="11"/>
      <c r="L9" s="11"/>
      <c r="M9" s="11"/>
      <c r="N9" s="11"/>
    </row>
    <row r="10" spans="1:15">
      <c r="A10" s="11"/>
      <c r="B10" s="11"/>
      <c r="C10" s="11"/>
      <c r="D10" s="11"/>
      <c r="E10" s="11"/>
      <c r="F10" s="11"/>
      <c r="G10" s="57" t="str">
        <f>B4</f>
        <v>TP02</v>
      </c>
      <c r="H10" s="157">
        <f>VLOOKUP(G10,'EVOL INDEX 3-6 MOIS GLISSANTS'!A8:D31,3,FALSE)</f>
        <v>2.3108732668450482E-2</v>
      </c>
      <c r="I10" s="157">
        <f>VLOOKUP(G10,'EVOL INDEX 3-6 MOIS GLISSANTS'!A8:D31,4,FALSE)</f>
        <v>2.237246465888143E-2</v>
      </c>
      <c r="J10" s="56"/>
      <c r="K10" s="11"/>
      <c r="L10" s="11"/>
      <c r="M10" s="11"/>
      <c r="N10" s="11"/>
    </row>
    <row r="11" spans="1:15">
      <c r="A11" s="11"/>
      <c r="B11" s="11"/>
      <c r="C11" s="11"/>
      <c r="D11" s="11"/>
      <c r="E11" s="11"/>
      <c r="F11" s="11"/>
      <c r="G11" s="11"/>
      <c r="H11" s="11"/>
      <c r="I11" s="11"/>
      <c r="J11" s="58"/>
      <c r="K11" s="11"/>
      <c r="L11" s="11"/>
      <c r="M11" s="11"/>
      <c r="N11" s="11"/>
    </row>
    <row r="12" spans="1:15">
      <c r="A12" s="11"/>
      <c r="B12" s="11"/>
      <c r="C12" s="11"/>
      <c r="D12" s="11"/>
      <c r="E12" s="11"/>
      <c r="F12" s="11"/>
      <c r="G12" s="260" t="str">
        <f>"Part du "&amp;B4&amp;" dans le TP01"</f>
        <v>Part du TP02 dans le TP01</v>
      </c>
      <c r="H12" s="260"/>
      <c r="I12" s="260"/>
      <c r="J12" s="11"/>
      <c r="K12" s="11"/>
      <c r="L12" s="11"/>
      <c r="M12" s="11"/>
      <c r="N12" s="11"/>
    </row>
    <row r="13" spans="1:15">
      <c r="A13" s="11"/>
      <c r="B13" s="11"/>
      <c r="C13" s="11"/>
      <c r="D13" s="11"/>
      <c r="E13" s="11"/>
      <c r="F13" s="11"/>
      <c r="G13" s="11"/>
      <c r="H13" s="11"/>
      <c r="I13" s="11"/>
      <c r="J13" s="11"/>
      <c r="K13" s="11"/>
      <c r="L13" s="11"/>
      <c r="M13" s="11"/>
      <c r="N13" s="11"/>
    </row>
    <row r="14" spans="1:15">
      <c r="A14" s="11"/>
      <c r="B14" s="11"/>
      <c r="C14" s="11"/>
      <c r="D14" s="11"/>
      <c r="E14" s="11"/>
      <c r="F14" s="11"/>
      <c r="G14" s="11"/>
      <c r="H14" s="11"/>
      <c r="I14" s="11"/>
      <c r="J14" s="11"/>
      <c r="K14" s="11"/>
      <c r="L14" s="11"/>
      <c r="M14" s="11"/>
      <c r="N14" s="11"/>
    </row>
    <row r="15" spans="1:15">
      <c r="A15" s="59"/>
      <c r="B15" s="11"/>
      <c r="C15" s="11"/>
      <c r="D15" s="11"/>
      <c r="E15" s="11"/>
      <c r="F15" s="11"/>
      <c r="G15" s="52"/>
      <c r="H15" s="11"/>
      <c r="I15" s="11"/>
      <c r="J15" s="160"/>
      <c r="K15" s="11"/>
      <c r="L15" s="11"/>
      <c r="M15" s="11"/>
      <c r="N15" s="11"/>
    </row>
    <row r="16" spans="1:15">
      <c r="A16" s="11"/>
      <c r="B16" s="11"/>
      <c r="C16" s="11"/>
      <c r="D16" s="11"/>
      <c r="E16" s="11"/>
      <c r="F16" s="11"/>
      <c r="G16" s="56"/>
      <c r="H16" s="11"/>
      <c r="I16" s="11"/>
      <c r="J16" s="11"/>
      <c r="K16" s="11"/>
      <c r="L16" s="11"/>
      <c r="M16" s="11"/>
      <c r="N16" s="11"/>
    </row>
    <row r="17" spans="1:15">
      <c r="A17" s="11"/>
      <c r="B17" s="11"/>
      <c r="C17" s="11"/>
      <c r="D17" s="11"/>
      <c r="E17" s="11"/>
      <c r="F17" s="11"/>
      <c r="G17" s="56"/>
      <c r="H17" s="11"/>
      <c r="I17" s="11"/>
      <c r="J17" s="11"/>
      <c r="K17" s="11"/>
      <c r="L17" s="11"/>
      <c r="M17" s="11"/>
      <c r="N17" s="11"/>
    </row>
    <row r="18" spans="1:15">
      <c r="A18" s="265" t="s">
        <v>161</v>
      </c>
      <c r="B18" s="265"/>
      <c r="C18" s="265"/>
      <c r="D18" s="265"/>
      <c r="E18" s="265"/>
      <c r="F18" s="265"/>
      <c r="G18" s="265"/>
      <c r="H18" s="265"/>
      <c r="I18" s="265"/>
      <c r="J18" s="265"/>
      <c r="K18" s="265"/>
      <c r="L18" s="265"/>
      <c r="M18" s="265"/>
      <c r="N18" s="265"/>
      <c r="O18" s="265"/>
    </row>
    <row r="19" spans="1:15">
      <c r="A19" s="11"/>
      <c r="B19" s="11"/>
      <c r="C19" s="11"/>
      <c r="D19" s="11"/>
      <c r="E19" s="11"/>
      <c r="F19" s="267" t="str">
        <f>'A MODIFIER'!A11</f>
        <v>*3 mois</v>
      </c>
      <c r="G19" s="267"/>
      <c r="H19" s="11"/>
      <c r="I19" s="11"/>
      <c r="J19" s="11"/>
      <c r="K19" s="11"/>
      <c r="L19" s="11"/>
      <c r="M19" s="11"/>
      <c r="N19" s="11"/>
    </row>
    <row r="20" spans="1:15" ht="24">
      <c r="A20" s="60"/>
      <c r="B20" s="61" t="str">
        <f>'A MODIFIER'!A11</f>
        <v>*3 mois</v>
      </c>
      <c r="C20" s="61" t="str">
        <f>'A MODIFIER'!A12</f>
        <v>*6 mois</v>
      </c>
      <c r="D20" s="61" t="str">
        <f>"Part dans le "&amp;B4</f>
        <v>Part dans le TP02</v>
      </c>
      <c r="E20" s="11"/>
      <c r="F20" s="11"/>
      <c r="G20" s="11"/>
      <c r="H20" s="11"/>
      <c r="I20" s="11"/>
      <c r="J20" s="11"/>
      <c r="K20" s="11"/>
      <c r="L20" s="11"/>
      <c r="M20" s="11"/>
      <c r="N20" s="11"/>
    </row>
    <row r="21" spans="1:15">
      <c r="A21" s="62" t="s">
        <v>115</v>
      </c>
      <c r="B21" s="63">
        <f>INDEX('3-6 MOIS GLISSANTS'!B45:E85,MATCH(A21,'3-6 MOIS GLISSANTS'!C45:C85,0),MATCH(B20,'3-6 MOIS GLISSANTS'!B44:E44,0))</f>
        <v>8.9709762532981241E-3</v>
      </c>
      <c r="C21" s="63">
        <f>INDEX('3-6 MOIS GLISSANTS'!C45:E85,MATCH(A21,'3-6 MOIS GLISSANTS'!C45:C85,0),MATCH(C20,'3-6 MOIS GLISSANTS'!C44:E44,0))</f>
        <v>2.3696682464453556E-3</v>
      </c>
      <c r="D21" s="64">
        <f>INDEX(compo_index,MATCH(B4,'COMPOSITION INDEX'!A1:A27,0),MATCH(A21,'COMPOSITION INDEX'!A2:AR2,0))</f>
        <v>0.21</v>
      </c>
      <c r="E21" s="11"/>
      <c r="F21" s="11"/>
      <c r="G21" s="11"/>
      <c r="H21" s="11"/>
      <c r="I21" s="11"/>
      <c r="J21" s="11"/>
      <c r="K21" s="11"/>
      <c r="L21" s="11"/>
      <c r="M21" s="11"/>
      <c r="N21" s="11"/>
    </row>
    <row r="22" spans="1:15">
      <c r="A22" s="62" t="s">
        <v>116</v>
      </c>
      <c r="B22" s="63">
        <f>INDEX('3-6 MOIS GLISSANTS'!B45:E85,MATCH(A22,'3-6 MOIS GLISSANTS'!C45:C85,0),MATCH(B20,'3-6 MOIS GLISSANTS'!B44:E44,0))</f>
        <v>5.6258790436005679E-3</v>
      </c>
      <c r="C22" s="63">
        <f>INDEX('3-6 MOIS GLISSANTS'!C45:E85,MATCH(A22,'3-6 MOIS GLISSANTS'!C45:C85,0),MATCH(C20,'3-6 MOIS GLISSANTS'!C44:E44,0))</f>
        <v>2.0758768790264837E-2</v>
      </c>
      <c r="D22" s="64">
        <f>INDEX(compo_index,MATCH(B4,'COMPOSITION INDEX'!A1:A27,0),MATCH(A22,'COMPOSITION INDEX'!A2:AR2,0))</f>
        <v>0.5</v>
      </c>
      <c r="E22" s="11"/>
      <c r="F22" s="11"/>
      <c r="G22" s="11"/>
      <c r="H22" s="11"/>
      <c r="I22" s="11"/>
      <c r="J22" s="11"/>
      <c r="K22" s="11"/>
      <c r="L22" s="11"/>
      <c r="M22" s="11"/>
      <c r="N22" s="11"/>
    </row>
    <row r="23" spans="1:15">
      <c r="A23" s="65" t="s">
        <v>316</v>
      </c>
      <c r="B23" s="63">
        <f>INDEX('3-6 MOIS GLISSANTS'!B45:E85,MATCH(A23,'3-6 MOIS GLISSANTS'!C45:C85,0),MATCH(B20,'3-6 MOIS GLISSANTS'!B44:E44,0))</f>
        <v>0.45688714254529583</v>
      </c>
      <c r="C23" s="63">
        <f>INDEX('3-6 MOIS GLISSANTS'!C45:E85,MATCH(A23,'3-6 MOIS GLISSANTS'!C45:C85,0),MATCH(C20,'3-6 MOIS GLISSANTS'!C44:E44,0))</f>
        <v>0.28982351592940625</v>
      </c>
      <c r="D23" s="64">
        <f>INDEX(compo_index,MATCH(B4,'COMPOSITION INDEX'!A1:A27,0),MATCH(A23,'COMPOSITION INDEX'!A2:AR2,0))</f>
        <v>0.01</v>
      </c>
      <c r="E23" s="11"/>
      <c r="F23" s="11"/>
      <c r="G23" s="11"/>
      <c r="H23" s="11"/>
      <c r="I23" s="11"/>
      <c r="J23" s="11"/>
      <c r="K23" s="11"/>
      <c r="L23" s="11"/>
      <c r="M23" s="11"/>
      <c r="N23" s="11"/>
    </row>
    <row r="24" spans="1:15">
      <c r="A24" s="62" t="s">
        <v>118</v>
      </c>
      <c r="B24" s="63">
        <f>INDEX('3-6 MOIS GLISSANTS'!B45:E85,MATCH(A24,'3-6 MOIS GLISSANTS'!C45:C85,0),MATCH(B20,'3-6 MOIS GLISSANTS'!B44:E44,0))</f>
        <v>0.30985729386892169</v>
      </c>
      <c r="C24" s="63">
        <f>INDEX('3-6 MOIS GLISSANTS'!C45:E85,MATCH(A24,'3-6 MOIS GLISSANTS'!C45:C85,0),MATCH(C20,'3-6 MOIS GLISSANTS'!C44:E44,0))</f>
        <v>0.16876995336553735</v>
      </c>
      <c r="D24" s="64">
        <f>INDEX(compo_index,MATCH(B4,'COMPOSITION INDEX'!A1:A27,0),MATCH(A24,'COMPOSITION INDEX'!A2:AR2,0))</f>
        <v>0</v>
      </c>
      <c r="E24" s="11"/>
      <c r="F24" s="54"/>
      <c r="G24" s="11"/>
      <c r="H24" s="11"/>
      <c r="I24" s="11"/>
      <c r="J24" s="11"/>
      <c r="K24" s="11"/>
      <c r="L24" s="11"/>
      <c r="M24" s="11"/>
      <c r="N24" s="11"/>
    </row>
    <row r="25" spans="1:15">
      <c r="A25" s="65" t="s">
        <v>119</v>
      </c>
      <c r="B25" s="63">
        <f>INDEX('3-6 MOIS GLISSANTS'!B45:E85,MATCH(A25,'3-6 MOIS GLISSANTS'!C45:C85,0),MATCH(B20,'3-6 MOIS GLISSANTS'!B44:E44,0))</f>
        <v>1.2328383300644452E-2</v>
      </c>
      <c r="C25" s="63">
        <f>INDEX('3-6 MOIS GLISSANTS'!C45:E85,MATCH(A25,'3-6 MOIS GLISSANTS'!C45:C85,0),MATCH(C20,'3-6 MOIS GLISSANTS'!C44:E44,0))</f>
        <v>1.3943112102621225E-3</v>
      </c>
      <c r="D25" s="64">
        <f>INDEX(compo_index,MATCH(B4,'COMPOSITION INDEX'!A1:A27,0),MATCH(A25,'COMPOSITION INDEX'!A2:AR2,0))</f>
        <v>0.01</v>
      </c>
      <c r="E25" s="11"/>
      <c r="F25" s="66"/>
      <c r="G25" s="11"/>
      <c r="H25" s="11"/>
      <c r="I25" s="11"/>
      <c r="J25" s="11"/>
      <c r="K25" s="11"/>
      <c r="L25" s="11"/>
      <c r="M25" s="11"/>
      <c r="N25" s="11"/>
    </row>
    <row r="26" spans="1:15">
      <c r="A26" s="65" t="s">
        <v>162</v>
      </c>
      <c r="B26" s="63">
        <f>INDEX('3-6 MOIS GLISSANTS'!B45:E85,MATCH('DONNEES 3-6 MOIS'!H10,'3-6 MOIS GLISSANTS'!C45:C85,0),MATCH(B20,'3-6 MOIS GLISSANTS'!B44:E44,0))</f>
        <v>1.9373673036093386E-2</v>
      </c>
      <c r="C26" s="63">
        <f>INDEX('3-6 MOIS GLISSANTS'!C45:E85,MATCH('DONNEES 3-6 MOIS'!H10,'3-6 MOIS GLISSANTS'!C45:C85,0),MATCH(C20,'3-6 MOIS GLISSANTS'!C44:E44,0))</f>
        <v>1.1566072852964737E-2</v>
      </c>
      <c r="D26" s="64">
        <f>INDEX(compo_index,MATCH(B4,'COMPOSITION INDEX'!A1:A27,0),MATCH('DONNEES 3-6 MOIS'!H10,'COMPOSITION INDEX'!A2:AR2,0))</f>
        <v>0.01</v>
      </c>
      <c r="E26" s="11"/>
      <c r="F26" s="11"/>
      <c r="G26" s="11"/>
      <c r="H26" s="11"/>
      <c r="I26" s="11"/>
      <c r="J26" s="11"/>
      <c r="K26" s="11"/>
      <c r="L26" s="11"/>
      <c r="M26" s="11"/>
      <c r="N26" s="11"/>
    </row>
    <row r="27" spans="1:15">
      <c r="A27" s="67" t="s">
        <v>163</v>
      </c>
      <c r="B27" s="68"/>
      <c r="C27" s="69"/>
      <c r="D27" s="70">
        <f>SUM(D21:D26)</f>
        <v>0.74</v>
      </c>
      <c r="E27" s="11"/>
      <c r="F27" s="11"/>
      <c r="G27" s="11"/>
      <c r="H27" s="11"/>
      <c r="I27" s="11"/>
      <c r="J27" s="11"/>
      <c r="K27" s="11"/>
      <c r="L27" s="11"/>
      <c r="M27" s="11"/>
      <c r="N27" s="11"/>
    </row>
    <row r="28" spans="1:15">
      <c r="A28" s="11"/>
      <c r="B28" s="11"/>
      <c r="C28" s="11"/>
      <c r="D28" s="11"/>
      <c r="E28" s="11"/>
      <c r="F28" s="11"/>
      <c r="G28" s="11"/>
      <c r="H28" s="11"/>
      <c r="I28" s="11"/>
      <c r="J28" s="11"/>
      <c r="K28" s="11"/>
      <c r="L28" s="11"/>
      <c r="M28" s="11"/>
      <c r="N28" s="11"/>
    </row>
    <row r="29" spans="1:15">
      <c r="A29" s="71" t="str">
        <f>IF(B4="TP14","Frais divers hors Restaurants et hôtels",IF(OR(B4="TP03a",B4="TP03b",B4="TP12d"),"Travail hors travail activités spécialisées",""))</f>
        <v/>
      </c>
      <c r="B29" s="11"/>
      <c r="C29" s="11"/>
      <c r="D29" s="11"/>
      <c r="E29" s="11"/>
      <c r="F29" s="11"/>
      <c r="G29" s="11"/>
      <c r="H29" s="11"/>
      <c r="I29" s="11"/>
      <c r="J29" s="11"/>
      <c r="K29" s="71"/>
      <c r="L29" s="71"/>
      <c r="M29" s="11"/>
      <c r="N29" s="11"/>
    </row>
    <row r="30" spans="1:15">
      <c r="A30" s="265" t="str">
        <f>"Evolution des indices spécifiques au "&amp;B4</f>
        <v>Evolution des indices spécifiques au TP02</v>
      </c>
      <c r="B30" s="265"/>
      <c r="C30" s="265"/>
      <c r="D30" s="265"/>
      <c r="E30" s="265"/>
      <c r="F30" s="265"/>
      <c r="G30" s="265"/>
      <c r="H30" s="265"/>
      <c r="I30" s="265"/>
      <c r="J30" s="265"/>
      <c r="K30" s="265"/>
      <c r="L30" s="265"/>
      <c r="M30" s="265"/>
      <c r="N30" s="265"/>
      <c r="O30" s="265"/>
    </row>
    <row r="31" spans="1:15" ht="24">
      <c r="A31" s="262" t="s">
        <v>177</v>
      </c>
      <c r="B31" s="262"/>
      <c r="C31" s="262"/>
      <c r="D31" s="262"/>
      <c r="E31" s="262"/>
      <c r="F31" s="262"/>
      <c r="G31" s="72" t="str">
        <f>'A MODIFIER'!A11</f>
        <v>*3 mois</v>
      </c>
      <c r="H31" s="72" t="str">
        <f>'A MODIFIER'!A12</f>
        <v>*6 mois</v>
      </c>
      <c r="I31" s="72" t="str">
        <f>IF(A32="","","Part dans le "&amp;B4)</f>
        <v>Part dans le TP02</v>
      </c>
      <c r="J31" s="11"/>
      <c r="K31" s="11"/>
      <c r="L31" s="11"/>
      <c r="M31" s="11"/>
      <c r="N31" s="73"/>
    </row>
    <row r="32" spans="1:15">
      <c r="A32" s="74" t="str">
        <f>IF('DONNEES 3-6 MOIS'!N15&lt;&gt;0,'DONNEES 3-6 MOIS'!M15,"")</f>
        <v>Travail</v>
      </c>
      <c r="B32" s="11"/>
      <c r="C32" s="11"/>
      <c r="D32" s="11"/>
      <c r="E32" s="11"/>
      <c r="F32" s="11"/>
      <c r="G32" s="63">
        <f>IF('DONNEES 3-6 MOIS'!N15&lt;&gt;0,VLOOKUP(A32,'DONNEES 3-6 MOIS'!Q15:S55,2,FALSE),"")</f>
        <v>5.6258790436005679E-3</v>
      </c>
      <c r="H32" s="63">
        <f>IF('DONNEES 3-6 MOIS'!N15&lt;&gt;0,VLOOKUP(A32,'DONNEES 3-6 MOIS'!Q15:S55,3,FALSE),"")</f>
        <v>2.0758768790264837E-2</v>
      </c>
      <c r="I32" s="145">
        <f>IF('DONNEES 3-6 MOIS'!N15&lt;&gt;0,'DONNEES 3-6 MOIS'!N15,"")</f>
        <v>0.5</v>
      </c>
      <c r="J32" s="11"/>
      <c r="K32" s="11"/>
      <c r="L32" s="11"/>
      <c r="M32" s="11"/>
      <c r="N32" s="11"/>
    </row>
    <row r="33" spans="1:14">
      <c r="A33" s="74" t="str">
        <f>IF('DONNEES 3-6 MOIS'!N16&lt;&gt;0,'DONNEES 3-6 MOIS'!M16,"")</f>
        <v>Matériel</v>
      </c>
      <c r="B33" s="11"/>
      <c r="C33" s="11"/>
      <c r="D33" s="11"/>
      <c r="E33" s="11"/>
      <c r="F33" s="11"/>
      <c r="G33" s="63">
        <f>IF('DONNEES 3-6 MOIS'!N16&lt;&gt;0,VLOOKUP(A33,'DONNEES 3-6 MOIS'!Q15:S55,2,FALSE),"")</f>
        <v>8.9709762532981241E-3</v>
      </c>
      <c r="H33" s="63">
        <f>IF('DONNEES 3-6 MOIS'!N16&lt;&gt;0,VLOOKUP(A33,'DONNEES 3-6 MOIS'!Q15:S55,3,FALSE),"")</f>
        <v>2.3696682464453556E-3</v>
      </c>
      <c r="I33" s="145">
        <f>IF('DONNEES 3-6 MOIS'!N16&lt;&gt;0,'DONNEES 3-6 MOIS'!N16,"")</f>
        <v>0.21</v>
      </c>
      <c r="J33" s="11"/>
      <c r="K33" s="11"/>
      <c r="L33" s="11"/>
      <c r="M33" s="11"/>
      <c r="N33" s="11"/>
    </row>
    <row r="34" spans="1:14">
      <c r="A34" s="74" t="str">
        <f>IF('DONNEES 3-6 MOIS'!N17&lt;&gt;0,'DONNEES 3-6 MOIS'!M17,"")</f>
        <v>Béton prêt à l'emploi</v>
      </c>
      <c r="B34" s="11"/>
      <c r="C34" s="11"/>
      <c r="D34" s="11"/>
      <c r="E34" s="11"/>
      <c r="F34" s="11"/>
      <c r="G34" s="63">
        <f>IF('DONNEES 3-6 MOIS'!N17&lt;&gt;0,VLOOKUP(A34,'DONNEES 3-6 MOIS'!Q15:S55,2,FALSE),"")</f>
        <v>2.4371859296482334E-2</v>
      </c>
      <c r="H34" s="63">
        <f>IF('DONNEES 3-6 MOIS'!N17&lt;&gt;0,VLOOKUP(A34,'DONNEES 3-6 MOIS'!Q15:S55,3,FALSE),"")</f>
        <v>2.077790447231731E-2</v>
      </c>
      <c r="I34" s="145">
        <f>IF('DONNEES 3-6 MOIS'!N17&lt;&gt;0,'DONNEES 3-6 MOIS'!N17,"")</f>
        <v>0.12</v>
      </c>
      <c r="J34" s="72"/>
      <c r="K34" s="11"/>
      <c r="L34" s="11"/>
      <c r="M34" s="11"/>
      <c r="N34" s="11"/>
    </row>
    <row r="35" spans="1:14">
      <c r="A35" s="74" t="str">
        <f>IF('DONNEES 3-6 MOIS'!N18&lt;&gt;0,'DONNEES 3-6 MOIS'!M18,"")</f>
        <v>Barres crénelées ou nervurées pour béton armé</v>
      </c>
      <c r="B35" s="11"/>
      <c r="C35" s="11"/>
      <c r="D35" s="11"/>
      <c r="E35" s="11"/>
      <c r="F35" s="11"/>
      <c r="G35" s="63">
        <f>IF('DONNEES 3-6 MOIS'!N18&lt;&gt;0,VLOOKUP(A35,'DONNEES 3-6 MOIS'!Q15:S55,2,FALSE),"")</f>
        <v>6.7730634488127661E-2</v>
      </c>
      <c r="H35" s="63">
        <f>IF('DONNEES 3-6 MOIS'!N18&lt;&gt;0,VLOOKUP(A35,'DONNEES 3-6 MOIS'!Q15:S55,3,FALSE),"")</f>
        <v>1.0654490106544845E-2</v>
      </c>
      <c r="I35" s="145">
        <f>IF('DONNEES 3-6 MOIS'!N18&lt;&gt;0,'DONNEES 3-6 MOIS'!N18,"")</f>
        <v>0.1</v>
      </c>
      <c r="J35" s="75"/>
      <c r="K35" s="72"/>
      <c r="L35" s="11"/>
      <c r="M35" s="11"/>
      <c r="N35" s="11"/>
    </row>
    <row r="36" spans="1:14">
      <c r="A36" s="74" t="str">
        <f>IF('DONNEES 3-6 MOIS'!N19&lt;&gt;0,'DONNEES 3-6 MOIS'!M19,"")</f>
        <v>GNR pour les Travaux Publics</v>
      </c>
      <c r="B36" s="11"/>
      <c r="C36" s="11"/>
      <c r="D36" s="11"/>
      <c r="E36" s="11"/>
      <c r="F36" s="11"/>
      <c r="G36" s="63">
        <f>IF('DONNEES 3-6 MOIS'!N19&lt;&gt;0,VLOOKUP(A36,'DONNEES 3-6 MOIS'!Q15:S55,2,FALSE),"")</f>
        <v>0.45688714254529583</v>
      </c>
      <c r="H36" s="63">
        <f>IF('DONNEES 3-6 MOIS'!N19&lt;&gt;0,VLOOKUP(A36,'DONNEES 3-6 MOIS'!Q15:S55,3,FALSE),"")</f>
        <v>0.28982351592940625</v>
      </c>
      <c r="I36" s="145">
        <f>IF('DONNEES 3-6 MOIS'!N19&lt;&gt;0,'DONNEES 3-6 MOIS'!N19,"")</f>
        <v>0.01</v>
      </c>
      <c r="J36" s="75"/>
      <c r="K36" s="75"/>
      <c r="L36" s="11"/>
      <c r="M36" s="11"/>
      <c r="N36" s="11"/>
    </row>
    <row r="37" spans="1:14">
      <c r="A37" s="74" t="str">
        <f>IF('DONNEES 3-6 MOIS'!N20&lt;&gt;0,'DONNEES 3-6 MOIS'!M20,"")</f>
        <v>Frais divers</v>
      </c>
      <c r="B37" s="11"/>
      <c r="C37" s="11"/>
      <c r="D37" s="11"/>
      <c r="E37" s="11"/>
      <c r="F37" s="11"/>
      <c r="G37" s="63">
        <f>IF('DONNEES 3-6 MOIS'!N20&lt;&gt;0,VLOOKUP(A37,'DONNEES 3-6 MOIS'!Q15:S55,2,FALSE),"")</f>
        <v>1.2328383300644452E-2</v>
      </c>
      <c r="H37" s="63">
        <f>IF('DONNEES 3-6 MOIS'!N20&lt;&gt;0,VLOOKUP(A37,'DONNEES 3-6 MOIS'!Q15:S55,3,FALSE),"")</f>
        <v>1.3943112102621225E-3</v>
      </c>
      <c r="I37" s="145">
        <f>IF('DONNEES 3-6 MOIS'!N20&lt;&gt;0,'DONNEES 3-6 MOIS'!N20,"")</f>
        <v>0.01</v>
      </c>
      <c r="J37" s="75"/>
      <c r="K37" s="75"/>
      <c r="L37" s="11"/>
      <c r="M37" s="11"/>
      <c r="N37" s="11"/>
    </row>
    <row r="38" spans="1:14">
      <c r="A38" s="74" t="str">
        <f>IF('DONNEES 3-6 MOIS'!N21&lt;&gt;0,'DONNEES 3-6 MOIS'!M21,"")</f>
        <v>Transports routiers</v>
      </c>
      <c r="B38" s="11"/>
      <c r="C38" s="11"/>
      <c r="D38" s="11"/>
      <c r="E38" s="11"/>
      <c r="F38" s="11"/>
      <c r="G38" s="63">
        <f>IF('DONNEES 3-6 MOIS'!N21&lt;&gt;0,VLOOKUP(A38,'DONNEES 3-6 MOIS'!Q15:S55,2,FALSE),"")</f>
        <v>1.9373673036093386E-2</v>
      </c>
      <c r="H38" s="63">
        <f>IF('DONNEES 3-6 MOIS'!N21&lt;&gt;0,VLOOKUP(A38,'DONNEES 3-6 MOIS'!Q15:S55,3,FALSE),"")</f>
        <v>1.1566072852964737E-2</v>
      </c>
      <c r="I38" s="145">
        <f>IF('DONNEES 3-6 MOIS'!N21&lt;&gt;0,'DONNEES 3-6 MOIS'!N21,"")</f>
        <v>0.01</v>
      </c>
      <c r="J38" s="75"/>
      <c r="K38" s="75"/>
      <c r="L38" s="11"/>
      <c r="M38" s="11"/>
      <c r="N38" s="11"/>
    </row>
    <row r="39" spans="1:14">
      <c r="A39" s="74" t="str">
        <f>IF('DONNEES 3-6 MOIS'!N22&lt;&gt;0,'DONNEES 3-6 MOIS'!M22,"")</f>
        <v>Électricité vendue aux entreprises consommatrices finales</v>
      </c>
      <c r="B39" s="11"/>
      <c r="C39" s="11"/>
      <c r="D39" s="11"/>
      <c r="E39" s="11"/>
      <c r="F39" s="11"/>
      <c r="G39" s="63">
        <f>IF('DONNEES 3-6 MOIS'!N22&lt;&gt;0,VLOOKUP(A39,'DONNEES 3-6 MOIS'!Q15:S55,2,FALSE),"")</f>
        <v>-0.16633266533066127</v>
      </c>
      <c r="H39" s="63">
        <f>IF('DONNEES 3-6 MOIS'!N22&lt;&gt;0,VLOOKUP(A39,'DONNEES 3-6 MOIS'!Q15:S55,3,FALSE),"")</f>
        <v>0.28211116300794026</v>
      </c>
      <c r="I39" s="145">
        <f>IF('DONNEES 3-6 MOIS'!N22&lt;&gt;0,'DONNEES 3-6 MOIS'!N22,"")</f>
        <v>0.01</v>
      </c>
      <c r="J39" s="75"/>
      <c r="K39" s="75"/>
      <c r="L39" s="11"/>
      <c r="M39" s="11"/>
      <c r="N39" s="11"/>
    </row>
    <row r="40" spans="1:14">
      <c r="A40" s="74" t="str">
        <f>IF('DONNEES 3-6 MOIS'!N23&lt;&gt;0,'DONNEES 3-6 MOIS'!M23,"")</f>
        <v>Tubes, tuyaux en matière plastique</v>
      </c>
      <c r="B40" s="11"/>
      <c r="C40" s="11"/>
      <c r="D40" s="11"/>
      <c r="E40" s="11"/>
      <c r="F40" s="11"/>
      <c r="G40" s="63">
        <f>IF('DONNEES 3-6 MOIS'!N23&lt;&gt;0,VLOOKUP(A40,'DONNEES 3-6 MOIS'!Q15:S55,2,FALSE),"")</f>
        <v>9.468438538205981E-2</v>
      </c>
      <c r="H40" s="63">
        <f>IF('DONNEES 3-6 MOIS'!N23&lt;&gt;0,VLOOKUP(A40,'DONNEES 3-6 MOIS'!Q15:S55,3,FALSE),"")</f>
        <v>3.3776028857189777E-2</v>
      </c>
      <c r="I40" s="145">
        <f>IF('DONNEES 3-6 MOIS'!N23&lt;&gt;0,'DONNEES 3-6 MOIS'!N23,"")</f>
        <v>0.01</v>
      </c>
      <c r="J40" s="76" t="str">
        <f>IF(OR(A32="Travail activités spécialisées",A32="Fils et câbles d'énergie",A32="Tuyaux d'assainissement"),"juillet 2021 = juin 2021","")</f>
        <v/>
      </c>
      <c r="K40" s="75"/>
      <c r="L40" s="11"/>
      <c r="M40" s="77"/>
      <c r="N40" s="11"/>
    </row>
    <row r="41" spans="1:14">
      <c r="A41" s="74" t="str">
        <f>IF('DONNEES 3-6 MOIS'!N24&lt;&gt;0,'DONNEES 3-6 MOIS'!M24,"")</f>
        <v>Ensemble des produits du sciage</v>
      </c>
      <c r="G41" s="63">
        <f>IF('DONNEES 3-6 MOIS'!N24&lt;&gt;0,VLOOKUP(A41,'DONNEES 3-6 MOIS'!Q15:S55,2,FALSE),"")</f>
        <v>3.2116788321168155E-3</v>
      </c>
      <c r="H41" s="63">
        <f>IF('DONNEES 3-6 MOIS'!N24&lt;&gt;0,VLOOKUP(A41,'DONNEES 3-6 MOIS'!Q5:S55,3,FALSE),"")</f>
        <v>9.415918787700539E-3</v>
      </c>
      <c r="I41" s="145">
        <f>IF('DONNEES 3-6 MOIS'!N24&lt;&gt;0,'DONNEES 3-6 MOIS'!N24,"")</f>
        <v>0.01</v>
      </c>
    </row>
    <row r="42" spans="1:14">
      <c r="A42" s="74" t="str">
        <f>IF('DONNEES 3-6 MOIS'!N25&lt;&gt;0,'DONNEES 3-6 MOIS'!M25,"")</f>
        <v>Traitement et élimination des déchets non dangereux</v>
      </c>
      <c r="G42" s="63">
        <f>IF('DONNEES 3-6 MOIS'!N25&lt;&gt;0,VLOOKUP(A42,'DONNEES 3-6 MOIS'!Q15:S55,2,FALSE),"")</f>
        <v>3.9414414414415955E-3</v>
      </c>
      <c r="H42" s="63">
        <f>IF('DONNEES 3-6 MOIS'!N25&lt;&gt;0,VLOOKUP(A42,'DONNEES 3-6 MOIS'!Q15:S55,3,FALSE),"")</f>
        <v>3.2417195207894434E-3</v>
      </c>
      <c r="I42" s="145">
        <f>IF('DONNEES 3-6 MOIS'!N25&lt;&gt;0,'DONNEES 3-6 MOIS'!N25,"")</f>
        <v>0.01</v>
      </c>
    </row>
    <row r="43" spans="1:14">
      <c r="A43" s="74" t="str">
        <f>IF('DONNEES 3-6 MOIS'!N26&lt;&gt;0,'DONNEES 3-6 MOIS'!M26,"")</f>
        <v/>
      </c>
      <c r="G43" s="63" t="str">
        <f>IF('DONNEES 3-6 MOIS'!N26&lt;&gt;0,VLOOKUP(A43,'DONNEES 3-6 MOIS'!Q15:S55,2,FALSE),"")</f>
        <v/>
      </c>
      <c r="H43" s="63" t="str">
        <f>IF('DONNEES 3-6 MOIS'!N26&lt;&gt;0,VLOOKUP(A43,'DONNEES 3-6 MOIS'!Q15:S55,3,FALSE),"")</f>
        <v/>
      </c>
      <c r="I43" s="145" t="str">
        <f>IF('DONNEES 3-6 MOIS'!N26&lt;&gt;0,'DONNEES 3-6 MOIS'!N26,"")</f>
        <v/>
      </c>
    </row>
    <row r="44" spans="1:14">
      <c r="A44" s="74" t="str">
        <f>IF('DONNEES 3-6 MOIS'!N27&lt;&gt;0,'DONNEES 3-6 MOIS'!M27,"")</f>
        <v/>
      </c>
      <c r="B44" s="11"/>
      <c r="C44" s="11"/>
      <c r="D44" s="11"/>
      <c r="E44" s="11"/>
      <c r="F44" s="11"/>
      <c r="G44" s="63" t="str">
        <f>IF('DONNEES 3-6 MOIS'!N27&lt;&gt;0,VLOOKUP(A44,'DONNEES 3-6 MOIS'!Q19:S59,2,FALSE),"")</f>
        <v/>
      </c>
      <c r="H44" s="63" t="str">
        <f>IF('DONNEES 3-6 MOIS'!N27&lt;&gt;0,VLOOKUP(A44,'DONNEES 3-6 MOIS'!Q19:S59,3,FALSE),"")</f>
        <v/>
      </c>
      <c r="I44" s="145" t="str">
        <f>IF('DONNEES 3-6 MOIS'!N27&lt;&gt;0,'DONNEES 3-6 MOIS'!N27,"")</f>
        <v/>
      </c>
    </row>
    <row r="45" spans="1:14">
      <c r="A45" s="74" t="str">
        <f>IF('DONNEES 3-6 MOIS'!N28&lt;&gt;0,'DONNEES 3-6 MOIS'!M28,"")</f>
        <v/>
      </c>
      <c r="G45" s="63" t="str">
        <f>IF('DONNEES 3-6 MOIS'!N28&lt;&gt;0,VLOOKUP(A45,'DONNEES 3-6 MOIS'!Q19:S59,2,FALSE),"")</f>
        <v/>
      </c>
      <c r="H45" s="63" t="str">
        <f>IF('DONNEES 3-6 MOIS'!N28&lt;&gt;0,VLOOKUP(A45,'DONNEES 3-6 MOIS'!Q9:S59,3,FALSE),"")</f>
        <v/>
      </c>
      <c r="I45" s="145" t="str">
        <f>IF('DONNEES 3-6 MOIS'!N28&lt;&gt;0,'DONNEES 3-6 MOIS'!N28,"")</f>
        <v/>
      </c>
    </row>
    <row r="46" spans="1:14">
      <c r="A46" s="74" t="str">
        <f>IF('DONNEES 3-6 MOIS'!N29&lt;&gt;0,'DONNEES 3-6 MOIS'!M29,"")</f>
        <v/>
      </c>
      <c r="G46" s="63" t="str">
        <f>IF('DONNEES 3-6 MOIS'!N29&lt;&gt;0,VLOOKUP(A46,'DONNEES 3-6 MOIS'!Q19:S59,2,FALSE),"")</f>
        <v/>
      </c>
      <c r="H46" s="63" t="str">
        <f>IF('DONNEES 3-6 MOIS'!N29&lt;&gt;0,VLOOKUP(A46,'DONNEES 3-6 MOIS'!Q19:S59,3,FALSE),"")</f>
        <v/>
      </c>
      <c r="I46" s="145" t="str">
        <f>IF('DONNEES 3-6 MOIS'!N29&lt;&gt;0,'DONNEES 3-6 MOIS'!N29,"")</f>
        <v/>
      </c>
    </row>
    <row r="47" spans="1:14">
      <c r="A47" s="74" t="str">
        <f>IF('DONNEES 3-6 MOIS'!N30&lt;&gt;0,'DONNEES 3-6 MOIS'!M30,"")</f>
        <v/>
      </c>
      <c r="G47" s="63" t="str">
        <f>IF('DONNEES 3-6 MOIS'!N30&lt;&gt;0,VLOOKUP(A47,'DONNEES 3-6 MOIS'!Q19:S59,2,FALSE),"")</f>
        <v/>
      </c>
      <c r="H47" s="63" t="str">
        <f>IF('DONNEES 3-6 MOIS'!N30&lt;&gt;0,VLOOKUP(A47,'DONNEES 3-6 MOIS'!Q19:S59,3,FALSE),"")</f>
        <v/>
      </c>
      <c r="I47" s="145" t="str">
        <f>IF('DONNEES 3-6 MOIS'!N30&lt;&gt;0,'DONNEES 3-6 MOIS'!N30,"")</f>
        <v/>
      </c>
    </row>
    <row r="48" spans="1:14">
      <c r="A48" s="74" t="str">
        <f>IF('DONNEES 3-6 MOIS'!N31&lt;&gt;0,'DONNEES 3-6 MOIS'!M31,"")</f>
        <v/>
      </c>
      <c r="B48" s="11"/>
      <c r="C48" s="11"/>
      <c r="D48" s="11"/>
      <c r="E48" s="11"/>
      <c r="F48" s="11"/>
      <c r="G48" s="63" t="str">
        <f>IF('DONNEES 3-6 MOIS'!N31&lt;&gt;0,VLOOKUP(A48,'DONNEES 3-6 MOIS'!Q23:S63,2,FALSE),"")</f>
        <v/>
      </c>
      <c r="H48" s="63" t="str">
        <f>IF('DONNEES 3-6 MOIS'!N31&lt;&gt;0,VLOOKUP(A48,'DONNEES 3-6 MOIS'!Q23:S63,3,FALSE),"")</f>
        <v/>
      </c>
      <c r="I48" s="145" t="str">
        <f>IF('DONNEES 3-6 MOIS'!N31&lt;&gt;0,'DONNEES 3-6 MOIS'!N31,"")</f>
        <v/>
      </c>
    </row>
    <row r="49" spans="1:9">
      <c r="A49" s="74"/>
      <c r="G49" s="63"/>
      <c r="H49" s="63"/>
      <c r="I49" s="145"/>
    </row>
  </sheetData>
  <mergeCells count="8">
    <mergeCell ref="A31:F31"/>
    <mergeCell ref="G12:I12"/>
    <mergeCell ref="F19:G19"/>
    <mergeCell ref="A1:O1"/>
    <mergeCell ref="K6:O6"/>
    <mergeCell ref="A18:O18"/>
    <mergeCell ref="A30:O30"/>
    <mergeCell ref="F4:L4"/>
  </mergeCells>
  <dataValidations count="1">
    <dataValidation type="list" allowBlank="1" showInputMessage="1" showErrorMessage="1" sqref="B4" xr:uid="{FE5DFFD4-8D7D-47AF-83EF-64AD5E8F7475}">
      <formula1>nomsindextp</formula1>
    </dataValidation>
  </dataValidations>
  <pageMargins left="0.7" right="0.7" top="0.75" bottom="0.75" header="0.3" footer="0.3"/>
  <pageSetup paperSize="9" scale="71" orientation="landscape" verticalDpi="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C5452-3CC6-49A4-AE63-F04135488DA0}">
  <sheetPr codeName="Feuil10">
    <tabColor rgb="FFFF0000"/>
    <pageSetUpPr fitToPage="1"/>
  </sheetPr>
  <dimension ref="A1:F59"/>
  <sheetViews>
    <sheetView showGridLines="0" topLeftCell="A31" zoomScaleNormal="100" workbookViewId="0">
      <selection activeCell="H62" sqref="H62"/>
    </sheetView>
  </sheetViews>
  <sheetFormatPr baseColWidth="10" defaultRowHeight="15"/>
  <cols>
    <col min="1" max="1" width="11.5703125" style="187" customWidth="1"/>
    <col min="2" max="2" width="61.28515625" bestFit="1" customWidth="1"/>
    <col min="3" max="4" width="7" bestFit="1" customWidth="1"/>
    <col min="5" max="5" width="6.28515625" bestFit="1" customWidth="1"/>
  </cols>
  <sheetData>
    <row r="1" spans="1:6">
      <c r="A1" s="10" t="str">
        <f>"CLASSEMENT DES INDICES SELON LEUR ÉVOLUTION A FIN "&amp;'A MODIFIER'!B4&amp;" EN CUMUL DEPUIS JANVIER PAR RAPPORT À "&amp;TEXT(EDATE(DATE3,-12),"aaaa")&amp;" ET "&amp;TEXT(EDATE(DATE3,-24),"aaaa")</f>
        <v>CLASSEMENT DES INDICES SELON LEUR ÉVOLUTION A FIN MAI 2026 EN CUMUL DEPUIS JANVIER PAR RAPPORT À 2025 ET 2024</v>
      </c>
      <c r="B1" s="39"/>
      <c r="C1" s="39"/>
      <c r="D1" s="14"/>
      <c r="E1" s="14"/>
      <c r="F1" s="118"/>
    </row>
    <row r="2" spans="1:6">
      <c r="A2" s="196"/>
      <c r="B2" s="11"/>
      <c r="C2" s="11"/>
      <c r="D2" s="11"/>
    </row>
    <row r="3" spans="1:6">
      <c r="A3" s="128" t="str" cm="1">
        <f t="array" ref="A3:A4">'A MODIFIER'!E5:E6</f>
        <v>*/2025 = Cumul janv 2026-mai 2026 / Cumul janv 2025-mai 2025</v>
      </c>
      <c r="B3" s="11"/>
      <c r="C3" s="11"/>
      <c r="D3" s="11"/>
    </row>
    <row r="4" spans="1:6">
      <c r="A4" s="209" t="str">
        <v>*/2024 = Cumul janv 2026-mai 2026 / Cumul janv 2024-mai 2024</v>
      </c>
      <c r="B4" s="11"/>
      <c r="C4" s="11"/>
      <c r="D4" s="40"/>
    </row>
    <row r="5" spans="1:6">
      <c r="A5" s="196"/>
      <c r="B5" s="11"/>
      <c r="C5" s="11"/>
      <c r="D5" s="40"/>
    </row>
    <row r="6" spans="1:6">
      <c r="A6" s="126" t="s">
        <v>157</v>
      </c>
    </row>
    <row r="7" spans="1:6">
      <c r="A7" s="53"/>
    </row>
    <row r="10" spans="1:6">
      <c r="A10" s="190"/>
      <c r="B10" s="43"/>
      <c r="C10" s="44" t="str">
        <f>'A MODIFIER'!A10</f>
        <v>*/2025</v>
      </c>
      <c r="D10" s="117" t="str">
        <f>'A MODIFIER'!A9</f>
        <v>*/2024</v>
      </c>
    </row>
    <row r="11" spans="1:6">
      <c r="A11" s="191" t="str" cm="1">
        <f t="array" ref="A11:D49">'DEPUIS JANVIER'!J45:M83</f>
        <v>Gazole routier HTT</v>
      </c>
      <c r="B11" s="25" t="str">
        <v>Gazole routier HTT</v>
      </c>
      <c r="C11" s="146">
        <v>0.35607335928372263</v>
      </c>
      <c r="D11" s="147">
        <v>0.17981630043018293</v>
      </c>
    </row>
    <row r="12" spans="1:6">
      <c r="A12" s="191" t="str">
        <v>010777519</v>
      </c>
      <c r="B12" s="25" t="str">
        <v>GNR pour les Travaux Publics</v>
      </c>
      <c r="C12" s="146">
        <v>0.33730051393021365</v>
      </c>
      <c r="D12" s="147">
        <v>0.33965587318791468</v>
      </c>
    </row>
    <row r="13" spans="1:6">
      <c r="A13" s="191" t="str">
        <v>011816634</v>
      </c>
      <c r="B13" s="25" t="str">
        <v>Gazole</v>
      </c>
      <c r="C13" s="146">
        <v>0.19374962748097646</v>
      </c>
      <c r="D13" s="147">
        <v>0.10588603401310426</v>
      </c>
    </row>
    <row r="14" spans="1:6">
      <c r="A14" s="191" t="str">
        <v>010764224</v>
      </c>
      <c r="B14" s="25" t="str">
        <v>Matériel de distribution et de commande électrique</v>
      </c>
      <c r="C14" s="146">
        <v>0.17282700421940933</v>
      </c>
      <c r="D14" s="147">
        <v>0.16829186281102904</v>
      </c>
    </row>
    <row r="15" spans="1:6">
      <c r="A15" s="191" t="str">
        <v>010764223</v>
      </c>
      <c r="B15" s="25" t="str">
        <v>Moteurs, génératrices, transfo. électr., matér. distrib., cmde électr.</v>
      </c>
      <c r="C15" s="146">
        <v>0.10969170499063186</v>
      </c>
      <c r="D15" s="147">
        <v>0.11711248285322351</v>
      </c>
    </row>
    <row r="16" spans="1:6">
      <c r="A16" s="191" t="str">
        <v>010763930</v>
      </c>
      <c r="B16" s="25" t="str">
        <v>Fils et câbles d'énergie</v>
      </c>
      <c r="C16" s="146">
        <v>7.8446785096682792E-2</v>
      </c>
      <c r="D16" s="147">
        <v>0.14048212801330018</v>
      </c>
    </row>
    <row r="17" spans="1:4">
      <c r="A17" s="191" t="str">
        <v>010764143</v>
      </c>
      <c r="B17" s="25" t="str">
        <v>Matières plastiques sous formes primaires</v>
      </c>
      <c r="C17" s="146">
        <v>6.1597281223449318E-2</v>
      </c>
      <c r="D17" s="147">
        <v>4.3859649122806932E-2</v>
      </c>
    </row>
    <row r="18" spans="1:4">
      <c r="A18" s="191" t="str">
        <v>010763845</v>
      </c>
      <c r="B18" s="25" t="str">
        <v>Tubes, tuyaux en matière plastique</v>
      </c>
      <c r="C18" s="146">
        <v>4.6745562130177554E-2</v>
      </c>
      <c r="D18" s="147">
        <v>-3.7671877943101784E-4</v>
      </c>
    </row>
    <row r="19" spans="1:4">
      <c r="A19" s="191" t="str">
        <v>010765839</v>
      </c>
      <c r="B19" s="25" t="str">
        <v>Tôles quarto et autres produits plats en aciers non alliés de qualité</v>
      </c>
      <c r="C19" s="146">
        <v>4.5031815956926069E-2</v>
      </c>
      <c r="D19" s="147">
        <v>-4.2386185243327934E-2</v>
      </c>
    </row>
    <row r="20" spans="1:4">
      <c r="A20" s="191" t="str">
        <v>011800704</v>
      </c>
      <c r="B20" s="25" t="str">
        <v>Travail</v>
      </c>
      <c r="C20" s="146">
        <v>3.6595991867557354E-2</v>
      </c>
      <c r="D20" s="147">
        <v>7.3222071868891625E-2</v>
      </c>
    </row>
    <row r="21" spans="1:4">
      <c r="A21" s="191" t="str">
        <v>010764187</v>
      </c>
      <c r="B21" s="25" t="str">
        <v>Tubes, tuyaux, profilés creux et accessoires correspondants en acier</v>
      </c>
      <c r="C21" s="146">
        <v>3.149736147757265E-2</v>
      </c>
      <c r="D21" s="147">
        <v>1.6012810248198228E-3</v>
      </c>
    </row>
    <row r="22" spans="1:4">
      <c r="A22" s="191" t="str">
        <v>010763881</v>
      </c>
      <c r="B22" s="25" t="str">
        <v>Produits sidérurgiques en acier non allié</v>
      </c>
      <c r="C22" s="146">
        <v>3.1263292216078487E-2</v>
      </c>
      <c r="D22" s="147">
        <v>-7.1662571662570729E-3</v>
      </c>
    </row>
    <row r="23" spans="1:4">
      <c r="A23" s="191" t="str">
        <v>010764301</v>
      </c>
      <c r="B23" s="25" t="str">
        <v>Collecte, traitement et élimination des déchets ; récupération de matériaux</v>
      </c>
      <c r="C23" s="146">
        <v>3.0523255813953654E-2</v>
      </c>
      <c r="D23" s="147">
        <v>3.730797366495997E-2</v>
      </c>
    </row>
    <row r="24" spans="1:4">
      <c r="A24" s="191" t="str">
        <v>010764180</v>
      </c>
      <c r="B24" s="25" t="str">
        <v>Béton prêt à l'emploi</v>
      </c>
      <c r="C24" s="146">
        <v>3.0242859324881577E-2</v>
      </c>
      <c r="D24" s="147">
        <v>4.1377180793577217E-2</v>
      </c>
    </row>
    <row r="25" spans="1:4">
      <c r="A25" s="191" t="str">
        <v> 010764116</v>
      </c>
      <c r="B25" s="25" t="str">
        <v>Ensemble des produits du sciage</v>
      </c>
      <c r="C25" s="146">
        <v>2.7468581687612348E-2</v>
      </c>
      <c r="D25" s="147">
        <v>6.7524715538145985E-2</v>
      </c>
    </row>
    <row r="26" spans="1:4">
      <c r="A26" s="191" t="str">
        <v>010764101</v>
      </c>
      <c r="B26" s="25" t="str">
        <v>Autres textiles</v>
      </c>
      <c r="C26" s="146">
        <v>2.6507276507276467E-2</v>
      </c>
      <c r="D26" s="147">
        <v>4.8858204992034082E-2</v>
      </c>
    </row>
    <row r="27" spans="1:4">
      <c r="A27" s="191" t="str">
        <v>010764176</v>
      </c>
      <c r="B27" s="25" t="str">
        <v>Ciment, chaux et plâtre</v>
      </c>
      <c r="C27" s="146">
        <v>2.6470991633520624E-2</v>
      </c>
      <c r="D27" s="147">
        <v>3.7427224840587803E-2</v>
      </c>
    </row>
    <row r="28" spans="1:4">
      <c r="A28" s="191" t="str">
        <v>001711943</v>
      </c>
      <c r="B28" s="25" t="str">
        <v>Transports routiers</v>
      </c>
      <c r="C28" s="146">
        <v>2.2526146419951765E-2</v>
      </c>
      <c r="D28" s="147">
        <v>2.6987718164188879E-2</v>
      </c>
    </row>
    <row r="29" spans="1:4">
      <c r="A29" s="191" t="str">
        <v>001565195</v>
      </c>
      <c r="B29" s="25" t="str">
        <v>Travail activités spécialisées</v>
      </c>
      <c r="C29" s="146">
        <v>2.1311232795619084E-2</v>
      </c>
      <c r="D29" s="147">
        <v>4.7828727604008581E-2</v>
      </c>
    </row>
    <row r="30" spans="1:4">
      <c r="A30" s="191" t="str">
        <v>010765500</v>
      </c>
      <c r="B30" s="25" t="str">
        <v>Sables et granulats</v>
      </c>
      <c r="C30" s="146">
        <v>1.9557385486361101E-2</v>
      </c>
      <c r="D30" s="147">
        <v>1.2608621570965761E-2</v>
      </c>
    </row>
    <row r="31" spans="1:4">
      <c r="A31" s="191" t="str">
        <v>010766292</v>
      </c>
      <c r="B31" s="25" t="str">
        <v>Réseaux d’assainissement</v>
      </c>
      <c r="C31" s="146">
        <v>1.552795031055898E-2</v>
      </c>
      <c r="D31" s="147">
        <v>1.3639181649101051E-2</v>
      </c>
    </row>
    <row r="32" spans="1:4">
      <c r="A32" s="191" t="str">
        <v>001711009</v>
      </c>
      <c r="B32" s="25" t="str">
        <v>Matériel</v>
      </c>
      <c r="C32" s="146">
        <v>1.5490258703289683E-2</v>
      </c>
      <c r="D32" s="147">
        <v>2.1526104417670666E-2</v>
      </c>
    </row>
    <row r="33" spans="1:4">
      <c r="A33" s="191" t="str">
        <v>010764160</v>
      </c>
      <c r="B33" s="25" t="str">
        <v>Plaques, feuilles, tubes et profilés en matières plastiques</v>
      </c>
      <c r="C33" s="146">
        <v>1.3226527570789903E-2</v>
      </c>
      <c r="D33" s="147">
        <v>1.7776946107784575E-2</v>
      </c>
    </row>
    <row r="34" spans="1:4">
      <c r="A34" s="191" t="str">
        <v>010766236</v>
      </c>
      <c r="B34" s="25" t="str">
        <v>Barres crénelées ou nervurées pour béton armé</v>
      </c>
      <c r="C34" s="146">
        <v>1.0889292196007094E-2</v>
      </c>
      <c r="D34" s="147">
        <v>-1.0657193605683735E-2</v>
      </c>
    </row>
    <row r="35" spans="1:4">
      <c r="A35" s="191" t="str">
        <v>001711011</v>
      </c>
      <c r="B35" s="25" t="str">
        <v>Frais divers</v>
      </c>
      <c r="C35" s="146">
        <v>9.6153846153845812E-3</v>
      </c>
      <c r="D35" s="147">
        <v>1.6992353440951513E-2</v>
      </c>
    </row>
    <row r="36" spans="1:4">
      <c r="A36" s="191" t="str">
        <v>010764181</v>
      </c>
      <c r="B36" s="25" t="str">
        <v>Mortiers et bétons secs</v>
      </c>
      <c r="C36" s="146">
        <v>8.8803761100468837E-3</v>
      </c>
      <c r="D36" s="147">
        <v>3.4530386740350139E-4</v>
      </c>
    </row>
    <row r="37" spans="1:4">
      <c r="A37" s="191" t="str">
        <v>010764172</v>
      </c>
      <c r="B37" s="25" t="str">
        <v>Tuiles, briques et produits de construction en terre cuite</v>
      </c>
      <c r="C37" s="146">
        <v>8.314220183486265E-3</v>
      </c>
      <c r="D37" s="147">
        <v>1.6033511483460661E-2</v>
      </c>
    </row>
    <row r="38" spans="1:4">
      <c r="A38" s="191" t="str">
        <v>010764195</v>
      </c>
      <c r="B38" s="25" t="str">
        <v>Travaux de fonderie de fonte</v>
      </c>
      <c r="C38" s="146">
        <v>7.1284673795133369E-3</v>
      </c>
      <c r="D38" s="147">
        <v>1.4517639712769537E-2</v>
      </c>
    </row>
    <row r="39" spans="1:4">
      <c r="A39" s="191" t="str">
        <v>010764306</v>
      </c>
      <c r="B39" s="25" t="str">
        <v>Traitement et élimination des déchets non dangereux</v>
      </c>
      <c r="C39" s="146">
        <v>4.3948613928330715E-3</v>
      </c>
      <c r="D39" s="147">
        <v>2.7672085783466027E-2</v>
      </c>
    </row>
    <row r="40" spans="1:4">
      <c r="A40" s="191" t="str">
        <v>010764179</v>
      </c>
      <c r="B40" s="25" t="str">
        <v>Éléments en béton pour la construction</v>
      </c>
      <c r="C40" s="146">
        <v>-8.4331253162417408E-4</v>
      </c>
      <c r="D40" s="147">
        <v>-3.0600556373752363E-2</v>
      </c>
    </row>
    <row r="41" spans="1:4">
      <c r="A41" s="191" t="str">
        <v>010764228</v>
      </c>
      <c r="B41" s="25" t="str">
        <v>Appareils d'éclairage électrique</v>
      </c>
      <c r="C41" s="146">
        <v>-5.0439006164768596E-3</v>
      </c>
      <c r="D41" s="147">
        <v>-7.269338303821038E-3</v>
      </c>
    </row>
    <row r="42" spans="1:4">
      <c r="A42" s="191" t="str">
        <v>010765837</v>
      </c>
      <c r="B42" s="25" t="str">
        <v>Acier pour la construction</v>
      </c>
      <c r="C42" s="146">
        <v>-8.4911822338340492E-3</v>
      </c>
      <c r="D42" s="147">
        <v>-2.7546444586803331E-2</v>
      </c>
    </row>
    <row r="43" spans="1:4">
      <c r="A43" s="191" t="str">
        <v>010764149</v>
      </c>
      <c r="B43" s="25" t="str">
        <v>Autres produits chimiques</v>
      </c>
      <c r="C43" s="146">
        <v>-9.5602294455069403E-3</v>
      </c>
      <c r="D43" s="147">
        <v>4.8775998527517128E-2</v>
      </c>
    </row>
    <row r="44" spans="1:4">
      <c r="A44" s="191" t="str">
        <v>010763871</v>
      </c>
      <c r="B44" s="25" t="str">
        <v>Produits de voierie en béton</v>
      </c>
      <c r="C44" s="146">
        <v>-3.1928084314941318E-2</v>
      </c>
      <c r="D44" s="147">
        <v>-2.710280373831786E-2</v>
      </c>
    </row>
    <row r="45" spans="1:4">
      <c r="A45" s="191" t="str">
        <v>010764834</v>
      </c>
      <c r="B45" s="25" t="str">
        <v>Câbles de fibres optiques</v>
      </c>
      <c r="C45" s="146">
        <v>-3.4916201117318413E-2</v>
      </c>
      <c r="D45" s="147">
        <v>-0.16897173782321095</v>
      </c>
    </row>
    <row r="46" spans="1:4">
      <c r="A46" s="191" t="str">
        <v>010764136</v>
      </c>
      <c r="B46" s="25" t="str">
        <v>Bitume</v>
      </c>
      <c r="C46" s="146">
        <v>-3.4975132360019368E-2</v>
      </c>
      <c r="D46" s="147">
        <v>-4.1390728476821126E-3</v>
      </c>
    </row>
    <row r="47" spans="1:4">
      <c r="A47" s="191" t="str">
        <v>010763825</v>
      </c>
      <c r="B47" s="25" t="str">
        <v>Peintures Industries</v>
      </c>
      <c r="C47" s="146">
        <v>-4.7865268134140937E-2</v>
      </c>
      <c r="D47" s="147">
        <v>-6.5129097766173594E-2</v>
      </c>
    </row>
    <row r="48" spans="1:4">
      <c r="A48" s="191" t="str">
        <v>010764297</v>
      </c>
      <c r="B48" s="25" t="str">
        <v>Gaz naturel</v>
      </c>
      <c r="C48" s="146">
        <v>-8.182865923933913E-2</v>
      </c>
      <c r="D48" s="147">
        <v>0.35257498585172642</v>
      </c>
    </row>
    <row r="49" spans="1:4">
      <c r="A49" s="192" t="str">
        <v>010764291</v>
      </c>
      <c r="B49" s="26" t="str">
        <v>Électricité vendue aux entreprises consommatrices finales</v>
      </c>
      <c r="C49" s="148">
        <v>-9.5969033635878054E-2</v>
      </c>
      <c r="D49" s="149">
        <v>-0.22972819288070045</v>
      </c>
    </row>
    <row r="51" spans="1:4">
      <c r="A51" t="s">
        <v>365</v>
      </c>
    </row>
    <row r="52" spans="1:4">
      <c r="A52" t="s">
        <v>364</v>
      </c>
    </row>
    <row r="53" spans="1:4">
      <c r="A53"/>
    </row>
    <row r="54" spans="1:4">
      <c r="A54" t="s">
        <v>363</v>
      </c>
    </row>
    <row r="55" spans="1:4">
      <c r="A55" t="s">
        <v>362</v>
      </c>
    </row>
    <row r="56" spans="1:4">
      <c r="A56"/>
    </row>
    <row r="57" spans="1:4">
      <c r="A57"/>
    </row>
    <row r="58" spans="1:4">
      <c r="A58"/>
    </row>
    <row r="59" spans="1:4">
      <c r="A59"/>
    </row>
  </sheetData>
  <conditionalFormatting sqref="C11:D49">
    <cfRule type="colorScale" priority="1">
      <colorScale>
        <cfvo type="min"/>
        <cfvo type="percentile" val="50"/>
        <cfvo type="max"/>
        <color theme="5" tint="0.59999389629810485"/>
        <color theme="0"/>
        <color theme="9"/>
      </colorScale>
    </cfRule>
    <cfRule type="colorScale" priority="2">
      <colorScale>
        <cfvo type="min"/>
        <cfvo type="percentile" val="50"/>
        <cfvo type="max"/>
        <color theme="5" tint="0.39997558519241921"/>
        <color theme="0"/>
        <color theme="9"/>
      </colorScale>
    </cfRule>
  </conditionalFormatting>
  <pageMargins left="0.7" right="0.7" top="0.75" bottom="0.75" header="0.3" footer="0.3"/>
  <pageSetup paperSize="9" scale="83"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F1593-E180-4E6E-9685-9724C32A5E7C}">
  <sheetPr codeName="Feuil12">
    <tabColor rgb="FFFF0000"/>
  </sheetPr>
  <dimension ref="A1:D61"/>
  <sheetViews>
    <sheetView showGridLines="0" topLeftCell="A29" zoomScaleNormal="100" workbookViewId="0">
      <selection activeCell="A49" sqref="A49:A53"/>
    </sheetView>
  </sheetViews>
  <sheetFormatPr baseColWidth="10" defaultRowHeight="15"/>
  <cols>
    <col min="1" max="1" width="61.28515625" bestFit="1" customWidth="1"/>
  </cols>
  <sheetData>
    <row r="1" spans="1:4">
      <c r="A1" s="10" t="s">
        <v>159</v>
      </c>
      <c r="B1" s="13"/>
      <c r="C1" s="14"/>
      <c r="D1" s="11"/>
    </row>
    <row r="2" spans="1:4">
      <c r="A2" s="11"/>
      <c r="B2" s="11"/>
      <c r="C2" s="11"/>
      <c r="D2" s="11"/>
    </row>
    <row r="3" spans="1:4">
      <c r="A3" s="12" t="str" cm="1">
        <f t="array" ref="A3:A4">'A MODIFIER'!E7:E8</f>
        <v>*3 mois = Cumul mars 2026-mai 2026 / Cumul déc 2025-févr 2026</v>
      </c>
      <c r="B3" s="27"/>
      <c r="C3" s="11"/>
      <c r="D3" s="11"/>
    </row>
    <row r="4" spans="1:4">
      <c r="A4" s="12" t="str">
        <v>*6 mois = Cumul déc 2025-mai 2026 / Cumul juin 2025-nov 2025</v>
      </c>
      <c r="B4" s="27"/>
      <c r="C4" s="11"/>
      <c r="D4" s="11"/>
    </row>
    <row r="7" spans="1:4">
      <c r="A7" s="23"/>
      <c r="B7" s="41" t="str">
        <f>'A MODIFIER'!A11</f>
        <v>*3 mois</v>
      </c>
      <c r="C7" s="41" t="str">
        <f>'A MODIFIER'!A12</f>
        <v>*6 mois</v>
      </c>
    </row>
    <row r="8" spans="1:4">
      <c r="A8" s="8" t="str" cm="1">
        <f t="array" ref="A8:C46">'3-6 MOIS GLISSANTS'!K45:M83</f>
        <v>Gazole routier HTT</v>
      </c>
      <c r="B8" s="149">
        <v>0.57121933130039126</v>
      </c>
      <c r="C8" s="149">
        <v>0.30464311328091953</v>
      </c>
    </row>
    <row r="9" spans="1:4">
      <c r="A9" s="8" t="str">
        <v>GNR pour les Travaux Publics</v>
      </c>
      <c r="B9" s="149">
        <v>0.45688714254529583</v>
      </c>
      <c r="C9" s="149">
        <v>0.28982351592940625</v>
      </c>
    </row>
    <row r="10" spans="1:4">
      <c r="A10" s="8" t="str">
        <v>Gaz naturel</v>
      </c>
      <c r="B10" s="149">
        <v>0.43821712268314217</v>
      </c>
      <c r="C10" s="149">
        <v>0.13800205973223489</v>
      </c>
    </row>
    <row r="11" spans="1:4">
      <c r="A11" s="8" t="str">
        <v>Bitume</v>
      </c>
      <c r="B11" s="149">
        <v>0.3837288135593222</v>
      </c>
      <c r="C11" s="149">
        <v>4.689593568557382E-2</v>
      </c>
    </row>
    <row r="12" spans="1:4">
      <c r="A12" s="8" t="str">
        <v>Matières plastiques sous formes primaires</v>
      </c>
      <c r="B12" s="149">
        <v>0.31210443037974689</v>
      </c>
      <c r="C12" s="149">
        <v>9.3545369504209441E-2</v>
      </c>
    </row>
    <row r="13" spans="1:4">
      <c r="A13" s="8" t="str">
        <v>Gazole</v>
      </c>
      <c r="B13" s="149">
        <v>0.30985729386892169</v>
      </c>
      <c r="C13" s="149">
        <v>0.16876995336553735</v>
      </c>
    </row>
    <row r="14" spans="1:4">
      <c r="A14" s="8" t="str">
        <v>Tubes, tuyaux en matière plastique</v>
      </c>
      <c r="B14" s="149">
        <v>9.468438538205981E-2</v>
      </c>
      <c r="C14" s="149">
        <v>3.3776028857189777E-2</v>
      </c>
    </row>
    <row r="15" spans="1:4">
      <c r="A15" s="8" t="str">
        <v>Plaques, feuilles, tubes et profilés en matières plastiques</v>
      </c>
      <c r="B15" s="149">
        <v>7.6504481434058746E-2</v>
      </c>
      <c r="C15" s="149">
        <v>1.5021123454858287E-2</v>
      </c>
    </row>
    <row r="16" spans="1:4">
      <c r="A16" s="8" t="str">
        <v>Barres crénelées ou nervurées pour béton armé</v>
      </c>
      <c r="B16" s="149">
        <v>6.7730634488127661E-2</v>
      </c>
      <c r="C16" s="149">
        <v>1.0654490106544845E-2</v>
      </c>
    </row>
    <row r="17" spans="1:3">
      <c r="A17" s="8" t="str">
        <v>Produits sidérurgiques en acier non allié</v>
      </c>
      <c r="B17" s="149">
        <v>6.48745519713263E-2</v>
      </c>
      <c r="C17" s="149">
        <v>3.7831021437578549E-2</v>
      </c>
    </row>
    <row r="18" spans="1:3">
      <c r="A18" s="8" t="str">
        <v>Tôles quarto et autres produits plats en aciers non alliés de qualité</v>
      </c>
      <c r="B18" s="149">
        <v>5.9586542359140626E-2</v>
      </c>
      <c r="C18" s="149">
        <v>5.4586965545869726E-2</v>
      </c>
    </row>
    <row r="19" spans="1:3">
      <c r="A19" s="8" t="str">
        <v>Matériel de distribution et de commande électrique</v>
      </c>
      <c r="B19" s="149">
        <v>5.9339008512769187E-2</v>
      </c>
      <c r="C19" s="149">
        <v>9.5352243973898076E-2</v>
      </c>
    </row>
    <row r="20" spans="1:3">
      <c r="A20" s="8" t="str">
        <v>Collecte, traitement et élimination des déchets ; récupération de matériaux</v>
      </c>
      <c r="B20" s="149">
        <v>4.5757575757575886E-2</v>
      </c>
      <c r="C20" s="149">
        <v>4.4076708939065901E-2</v>
      </c>
    </row>
    <row r="21" spans="1:3">
      <c r="A21" s="8" t="str">
        <v>Fils et câbles d'énergie</v>
      </c>
      <c r="B21" s="149">
        <v>3.7882589061716043E-2</v>
      </c>
      <c r="C21" s="149">
        <v>8.2056747036099775E-2</v>
      </c>
    </row>
    <row r="22" spans="1:3">
      <c r="A22" s="8" t="str">
        <v>Autres produits chimiques</v>
      </c>
      <c r="B22" s="149">
        <v>3.4441449535789204E-2</v>
      </c>
      <c r="C22" s="149">
        <v>3.9957134109001924E-2</v>
      </c>
    </row>
    <row r="23" spans="1:3">
      <c r="A23" s="8" t="str">
        <v>Moteurs, génératrices, transfo. électr., matér. distrib., cmde électr.</v>
      </c>
      <c r="B23" s="149">
        <v>3.3307107264620939E-2</v>
      </c>
      <c r="C23" s="149">
        <v>6.5265182742511696E-2</v>
      </c>
    </row>
    <row r="24" spans="1:3">
      <c r="A24" s="8" t="str">
        <v>Travaux de fonderie de fonte</v>
      </c>
      <c r="B24" s="149">
        <v>2.5006512112529355E-2</v>
      </c>
      <c r="C24" s="149">
        <v>5.9523809523811533E-3</v>
      </c>
    </row>
    <row r="25" spans="1:3">
      <c r="A25" s="8" t="str">
        <v>Mortiers et bétons secs</v>
      </c>
      <c r="B25" s="149">
        <v>2.4890190336749551E-2</v>
      </c>
      <c r="C25" s="149">
        <v>7.5768614308611149E-3</v>
      </c>
    </row>
    <row r="26" spans="1:3">
      <c r="A26" s="8" t="str">
        <v>Béton prêt à l'emploi</v>
      </c>
      <c r="B26" s="149">
        <v>2.4371859296482334E-2</v>
      </c>
      <c r="C26" s="149">
        <v>2.077790447231731E-2</v>
      </c>
    </row>
    <row r="27" spans="1:3">
      <c r="A27" s="8" t="str">
        <v>Sables et granulats</v>
      </c>
      <c r="B27" s="149">
        <v>2.3050654524758185E-2</v>
      </c>
      <c r="C27" s="149">
        <v>2.302489566844157E-2</v>
      </c>
    </row>
    <row r="28" spans="1:3">
      <c r="A28" s="8" t="str">
        <v>Appareils d'éclairage électrique</v>
      </c>
      <c r="B28" s="149">
        <v>2.0012706480305065E-2</v>
      </c>
      <c r="C28" s="149">
        <v>-1.1041990668740342E-2</v>
      </c>
    </row>
    <row r="29" spans="1:3">
      <c r="A29" s="8" t="str">
        <v>Transports routiers</v>
      </c>
      <c r="B29" s="149">
        <v>1.9373673036093386E-2</v>
      </c>
      <c r="C29" s="149">
        <v>1.1566072852964737E-2</v>
      </c>
    </row>
    <row r="30" spans="1:3">
      <c r="A30" s="8" t="str">
        <v>Ciment, chaux et plâtre</v>
      </c>
      <c r="B30" s="149">
        <v>1.4905149051490652E-2</v>
      </c>
      <c r="C30" s="149">
        <v>3.3595922150138957E-2</v>
      </c>
    </row>
    <row r="31" spans="1:3">
      <c r="A31" s="8" t="str">
        <v>Tubes, tuyaux, profilés creux et accessoires correspondants en acier</v>
      </c>
      <c r="B31" s="149">
        <v>1.4539579967689953E-2</v>
      </c>
      <c r="C31" s="149">
        <v>2.6478254904650722E-2</v>
      </c>
    </row>
    <row r="32" spans="1:3">
      <c r="A32" s="8" t="str">
        <v>Câbles de fibres optiques</v>
      </c>
      <c r="B32" s="149">
        <v>1.3765182186235014E-2</v>
      </c>
      <c r="C32" s="149">
        <v>2.4183796856105388E-3</v>
      </c>
    </row>
    <row r="33" spans="1:3">
      <c r="A33" s="8" t="str">
        <v>Frais divers</v>
      </c>
      <c r="B33" s="149">
        <v>1.2328383300644452E-2</v>
      </c>
      <c r="C33" s="149">
        <v>1.3943112102621225E-3</v>
      </c>
    </row>
    <row r="34" spans="1:3">
      <c r="A34" s="8" t="str">
        <v>Réseaux d’assainissement</v>
      </c>
      <c r="B34" s="149">
        <v>1.1071060762101181E-2</v>
      </c>
      <c r="C34" s="149">
        <v>1.4020511489029941E-2</v>
      </c>
    </row>
    <row r="35" spans="1:3">
      <c r="A35" s="8" t="str">
        <v>Acier pour la construction</v>
      </c>
      <c r="B35" s="149">
        <v>1.0328292143120477E-2</v>
      </c>
      <c r="C35" s="149">
        <v>-6.1998541210794844E-3</v>
      </c>
    </row>
    <row r="36" spans="1:3">
      <c r="A36" s="8" t="str">
        <v>Matériel</v>
      </c>
      <c r="B36" s="149">
        <v>8.9709762532981241E-3</v>
      </c>
      <c r="C36" s="149">
        <v>2.3696682464453556E-3</v>
      </c>
    </row>
    <row r="37" spans="1:3">
      <c r="A37" s="8" t="str">
        <v>Autres textiles</v>
      </c>
      <c r="B37" s="149">
        <v>8.7768969422423737E-3</v>
      </c>
      <c r="C37" s="149">
        <v>1.3716245177882502E-2</v>
      </c>
    </row>
    <row r="38" spans="1:3">
      <c r="A38" s="8" t="str">
        <v>Tuiles, briques et produits de construction en terre cuite</v>
      </c>
      <c r="B38" s="149">
        <v>6.4377682403433667E-3</v>
      </c>
      <c r="C38" s="149">
        <v>3.8172491947989773E-3</v>
      </c>
    </row>
    <row r="39" spans="1:3">
      <c r="A39" s="8" t="str">
        <v>Travail</v>
      </c>
      <c r="B39" s="149">
        <v>5.6258790436005679E-3</v>
      </c>
      <c r="C39" s="149">
        <v>2.0758768790264837E-2</v>
      </c>
    </row>
    <row r="40" spans="1:3">
      <c r="A40" s="8" t="str">
        <v>Travail activités spécialisées</v>
      </c>
      <c r="B40" s="149">
        <v>4.1172196657786042E-3</v>
      </c>
      <c r="C40" s="149">
        <v>1.0995723885155684E-2</v>
      </c>
    </row>
    <row r="41" spans="1:3">
      <c r="A41" s="8" t="str">
        <v>Traitement et élimination des déchets non dangereux</v>
      </c>
      <c r="B41" s="149">
        <v>3.9414414414415955E-3</v>
      </c>
      <c r="C41" s="149">
        <v>3.2417195207894434E-3</v>
      </c>
    </row>
    <row r="42" spans="1:3">
      <c r="A42" s="8" t="str">
        <v>Ensemble des produits du sciage</v>
      </c>
      <c r="B42" s="149">
        <v>3.2116788321168155E-3</v>
      </c>
      <c r="C42" s="149">
        <v>9.415918787700539E-3</v>
      </c>
    </row>
    <row r="43" spans="1:3">
      <c r="A43" s="8" t="str">
        <v>Éléments en béton pour la construction</v>
      </c>
      <c r="B43" s="149">
        <v>-3.9347948285554102E-3</v>
      </c>
      <c r="C43" s="149">
        <v>-2.8081999438359651E-3</v>
      </c>
    </row>
    <row r="44" spans="1:3">
      <c r="A44" s="8" t="str">
        <v>Peintures Industries</v>
      </c>
      <c r="B44" s="149">
        <v>-2.6168699186991939E-2</v>
      </c>
      <c r="C44" s="149">
        <v>-4.2755051749630457E-2</v>
      </c>
    </row>
    <row r="45" spans="1:3">
      <c r="A45" s="8" t="str">
        <v>Produits de voierie en béton</v>
      </c>
      <c r="B45" s="149">
        <v>-3.3995815899581561E-2</v>
      </c>
      <c r="C45" s="149">
        <v>-4.4605413648494019E-2</v>
      </c>
    </row>
    <row r="46" spans="1:3">
      <c r="A46" s="8" t="str">
        <v>Électricité vendue aux entreprises consommatrices finales</v>
      </c>
      <c r="B46" s="149">
        <v>-0.16633266533066127</v>
      </c>
      <c r="C46" s="149">
        <v>0.28211116300794026</v>
      </c>
    </row>
    <row r="49" spans="1:1">
      <c r="A49" t="s">
        <v>365</v>
      </c>
    </row>
    <row r="50" spans="1:1">
      <c r="A50" t="s">
        <v>364</v>
      </c>
    </row>
    <row r="52" spans="1:1">
      <c r="A52" t="s">
        <v>363</v>
      </c>
    </row>
    <row r="53" spans="1:1">
      <c r="A53" t="s">
        <v>362</v>
      </c>
    </row>
    <row r="58" spans="1:1">
      <c r="A58" s="187"/>
    </row>
    <row r="59" spans="1:1">
      <c r="A59" s="187"/>
    </row>
    <row r="60" spans="1:1">
      <c r="A60" s="187"/>
    </row>
    <row r="61" spans="1:1">
      <c r="A61" s="187"/>
    </row>
  </sheetData>
  <conditionalFormatting sqref="B8:C46">
    <cfRule type="colorScale" priority="1">
      <colorScale>
        <cfvo type="min"/>
        <cfvo type="percentile" val="50"/>
        <cfvo type="max"/>
        <color theme="5" tint="0.59999389629810485"/>
        <color theme="0"/>
        <color theme="9"/>
      </colorScale>
    </cfRule>
  </conditionalFormatting>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E210B-36C2-49E3-BB47-D83CC4048F5E}">
  <sheetPr codeName="Feuil27">
    <pageSetUpPr fitToPage="1"/>
  </sheetPr>
  <dimension ref="A1:D38"/>
  <sheetViews>
    <sheetView showGridLines="0" workbookViewId="0">
      <selection activeCell="H27" sqref="H27"/>
    </sheetView>
  </sheetViews>
  <sheetFormatPr baseColWidth="10" defaultColWidth="11.42578125" defaultRowHeight="15"/>
  <cols>
    <col min="1" max="1" width="11.42578125" style="127"/>
    <col min="2" max="2" width="48.7109375" style="127" bestFit="1" customWidth="1"/>
    <col min="3" max="16384" width="11.42578125" style="127"/>
  </cols>
  <sheetData>
    <row r="1" spans="1:4">
      <c r="A1" s="130"/>
      <c r="B1" s="265" t="s">
        <v>222</v>
      </c>
      <c r="C1" s="265"/>
      <c r="D1" s="10"/>
    </row>
    <row r="2" spans="1:4">
      <c r="A2" s="126"/>
      <c r="B2" s="126"/>
      <c r="C2" s="126"/>
      <c r="D2" s="126"/>
    </row>
    <row r="3" spans="1:4">
      <c r="A3" s="126"/>
      <c r="B3" s="126"/>
      <c r="C3" s="126"/>
      <c r="D3" s="126"/>
    </row>
    <row r="4" spans="1:4">
      <c r="A4" s="125"/>
      <c r="B4" s="126"/>
      <c r="C4" s="126"/>
      <c r="D4" s="125"/>
    </row>
    <row r="5" spans="1:4">
      <c r="A5" s="254" t="s">
        <v>223</v>
      </c>
      <c r="B5" s="254"/>
      <c r="C5" s="254"/>
      <c r="D5" s="254"/>
    </row>
    <row r="6" spans="1:4">
      <c r="A6" s="254"/>
      <c r="B6" s="254"/>
      <c r="C6" s="254"/>
      <c r="D6" s="254"/>
    </row>
    <row r="7" spans="1:4" ht="18" customHeight="1">
      <c r="A7" s="254"/>
      <c r="B7" s="254"/>
      <c r="C7" s="254"/>
      <c r="D7" s="254"/>
    </row>
    <row r="8" spans="1:4">
      <c r="A8" s="259" t="str">
        <f>"Cette édition porte sur les données de "&amp;TEXT(DATE3,"mmmmmmmm aaaa")&amp;".  A noter que depuis janvier 2024, certains index ont été créés, expliquant ainsi une impossibilité de calculer leur évolution passée."</f>
        <v>Cette édition porte sur les données de mai 2026.  A noter que depuis janvier 2024, certains index ont été créés, expliquant ainsi une impossibilité de calculer leur évolution passée.</v>
      </c>
      <c r="B8" s="259"/>
      <c r="C8" s="259"/>
      <c r="D8" s="259"/>
    </row>
    <row r="9" spans="1:4">
      <c r="A9" s="259"/>
      <c r="B9" s="259"/>
      <c r="C9" s="259"/>
      <c r="D9" s="259"/>
    </row>
    <row r="10" spans="1:4">
      <c r="A10" s="269" t="s">
        <v>224</v>
      </c>
      <c r="B10" s="269"/>
      <c r="C10" s="269"/>
      <c r="D10" s="269"/>
    </row>
    <row r="11" spans="1:4">
      <c r="A11" s="269"/>
      <c r="B11" s="269"/>
      <c r="C11" s="269"/>
      <c r="D11" s="269"/>
    </row>
    <row r="12" spans="1:4">
      <c r="A12" s="121"/>
      <c r="B12" s="121"/>
      <c r="C12" s="121"/>
      <c r="D12" s="121"/>
    </row>
    <row r="13" spans="1:4">
      <c r="A13" s="128" t="s">
        <v>225</v>
      </c>
      <c r="B13" s="126"/>
      <c r="C13" s="125"/>
      <c r="D13" s="126"/>
    </row>
    <row r="14" spans="1:4">
      <c r="A14" s="126"/>
      <c r="B14" s="125"/>
      <c r="C14" s="125"/>
      <c r="D14" s="126"/>
    </row>
    <row r="15" spans="1:4">
      <c r="A15" s="270" t="s">
        <v>226</v>
      </c>
      <c r="B15" s="270"/>
      <c r="C15" s="270"/>
      <c r="D15" s="270"/>
    </row>
    <row r="16" spans="1:4">
      <c r="A16" s="129"/>
      <c r="B16" s="126"/>
      <c r="C16" s="126"/>
      <c r="D16" s="126"/>
    </row>
    <row r="17" spans="1:4">
      <c r="A17" s="268" t="s">
        <v>227</v>
      </c>
      <c r="B17" s="268"/>
      <c r="C17" s="126"/>
      <c r="D17" s="126"/>
    </row>
    <row r="18" spans="1:4">
      <c r="A18" s="268"/>
      <c r="B18" s="268"/>
      <c r="C18" s="126"/>
      <c r="D18" s="126"/>
    </row>
    <row r="19" spans="1:4">
      <c r="A19" s="126"/>
      <c r="B19" s="126"/>
      <c r="C19" s="126"/>
      <c r="D19" s="126"/>
    </row>
    <row r="20" spans="1:4">
      <c r="A20" s="126"/>
      <c r="B20" s="126"/>
      <c r="C20" s="126"/>
      <c r="D20" s="126"/>
    </row>
    <row r="21" spans="1:4">
      <c r="A21" s="268" t="s">
        <v>228</v>
      </c>
      <c r="B21" s="268"/>
      <c r="C21" s="126"/>
      <c r="D21" s="126"/>
    </row>
    <row r="22" spans="1:4">
      <c r="A22" s="268"/>
      <c r="B22" s="268"/>
      <c r="C22" s="126"/>
      <c r="D22" s="126"/>
    </row>
    <row r="23" spans="1:4">
      <c r="A23" s="269" t="str">
        <f>"La première date inscrite doit être antérieure à la seconde et les dates doivent être comprises entre le 01/01/2018 et le "&amp;TEXT('A MODIFIER'!C4,"jj/mm/aaaa")</f>
        <v>La première date inscrite doit être antérieure à la seconde et les dates doivent être comprises entre le 01/01/2018 et le 01/05/2026</v>
      </c>
      <c r="B23" s="269"/>
      <c r="C23" s="126"/>
      <c r="D23" s="126"/>
    </row>
    <row r="24" spans="1:4">
      <c r="A24" s="269"/>
      <c r="B24" s="269"/>
      <c r="C24" s="126"/>
      <c r="D24" s="126"/>
    </row>
    <row r="25" spans="1:4">
      <c r="A25" s="126"/>
      <c r="B25" s="126"/>
      <c r="C25" s="126"/>
      <c r="D25" s="126"/>
    </row>
    <row r="26" spans="1:4">
      <c r="A26" s="126"/>
      <c r="B26" s="126"/>
      <c r="C26" s="126"/>
      <c r="D26" s="126"/>
    </row>
    <row r="27" spans="1:4">
      <c r="A27" s="271" t="s">
        <v>229</v>
      </c>
      <c r="B27" s="271"/>
      <c r="C27" s="126"/>
      <c r="D27" s="126"/>
    </row>
    <row r="28" spans="1:4">
      <c r="A28" s="271"/>
      <c r="B28" s="271"/>
      <c r="C28" s="126"/>
      <c r="D28" s="126"/>
    </row>
    <row r="29" spans="1:4">
      <c r="A29" s="271"/>
      <c r="B29" s="271"/>
      <c r="C29" s="126"/>
      <c r="D29" s="126"/>
    </row>
    <row r="30" spans="1:4">
      <c r="A30" s="271"/>
      <c r="B30" s="271"/>
      <c r="C30" s="126"/>
      <c r="D30" s="126"/>
    </row>
    <row r="31" spans="1:4">
      <c r="A31" s="271" t="s">
        <v>230</v>
      </c>
      <c r="B31" s="271"/>
      <c r="C31" s="126"/>
      <c r="D31" s="126"/>
    </row>
    <row r="32" spans="1:4">
      <c r="A32" s="271"/>
      <c r="B32" s="271"/>
      <c r="C32" s="126"/>
      <c r="D32" s="126"/>
    </row>
    <row r="33" spans="1:4">
      <c r="A33" s="271"/>
      <c r="B33" s="271"/>
      <c r="C33" s="126"/>
      <c r="D33" s="126"/>
    </row>
    <row r="34" spans="1:4">
      <c r="A34" s="271"/>
      <c r="B34" s="271"/>
      <c r="C34" s="126"/>
      <c r="D34" s="126"/>
    </row>
    <row r="35" spans="1:4">
      <c r="A35" s="271"/>
      <c r="B35" s="271"/>
      <c r="C35" s="126"/>
      <c r="D35" s="126"/>
    </row>
    <row r="36" spans="1:4" ht="15" customHeight="1">
      <c r="A36" s="271" t="s">
        <v>231</v>
      </c>
      <c r="B36" s="271"/>
      <c r="C36" s="126"/>
      <c r="D36" s="126"/>
    </row>
    <row r="37" spans="1:4">
      <c r="A37" s="271"/>
      <c r="B37" s="271"/>
      <c r="C37" s="126"/>
      <c r="D37" s="126"/>
    </row>
    <row r="38" spans="1:4">
      <c r="A38" s="271"/>
      <c r="B38" s="271"/>
      <c r="C38" s="126"/>
      <c r="D38" s="126"/>
    </row>
  </sheetData>
  <mergeCells count="11">
    <mergeCell ref="A21:B22"/>
    <mergeCell ref="A23:B24"/>
    <mergeCell ref="A27:B30"/>
    <mergeCell ref="A31:B35"/>
    <mergeCell ref="A36:B38"/>
    <mergeCell ref="A17:B18"/>
    <mergeCell ref="B1:C1"/>
    <mergeCell ref="A5:D7"/>
    <mergeCell ref="A8:D9"/>
    <mergeCell ref="A10:D11"/>
    <mergeCell ref="A15:D15"/>
  </mergeCells>
  <pageMargins left="0.7" right="0.7" top="0.75" bottom="0.75" header="0.3" footer="0.3"/>
  <pageSetup paperSize="9" scale="88" orientation="landscape" verticalDpi="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A5424-8411-4076-BF3E-7FB60FC618FB}">
  <sheetPr codeName="Feuil19">
    <tabColor rgb="FFFF0000"/>
  </sheetPr>
  <dimension ref="A1:P58"/>
  <sheetViews>
    <sheetView showGridLines="0" zoomScale="110" zoomScaleNormal="110" workbookViewId="0">
      <selection activeCell="B3" sqref="B3"/>
    </sheetView>
  </sheetViews>
  <sheetFormatPr baseColWidth="10" defaultRowHeight="15"/>
  <cols>
    <col min="9" max="15" width="14.28515625" customWidth="1"/>
  </cols>
  <sheetData>
    <row r="1" spans="1:16">
      <c r="A1" s="260" t="s">
        <v>178</v>
      </c>
      <c r="B1" s="260"/>
      <c r="C1" s="260"/>
      <c r="D1" s="260"/>
      <c r="E1" s="260"/>
      <c r="F1" s="260"/>
      <c r="G1" s="260"/>
      <c r="H1" s="260"/>
      <c r="I1" s="260"/>
      <c r="J1" s="260"/>
      <c r="K1" s="260"/>
      <c r="L1" s="260"/>
      <c r="M1" s="260"/>
      <c r="N1" s="260"/>
      <c r="O1" s="260"/>
    </row>
    <row r="2" spans="1:16">
      <c r="A2" s="11"/>
      <c r="B2" s="12"/>
      <c r="C2" s="12"/>
      <c r="D2" s="12"/>
      <c r="E2" s="12"/>
      <c r="F2" s="12"/>
      <c r="G2" s="12"/>
      <c r="H2" s="12"/>
      <c r="I2" s="12"/>
      <c r="J2" s="12"/>
      <c r="K2" s="11"/>
      <c r="L2" s="11"/>
      <c r="M2" s="11"/>
      <c r="N2" s="11"/>
    </row>
    <row r="3" spans="1:16">
      <c r="A3" s="46" t="s">
        <v>160</v>
      </c>
      <c r="B3" s="47" t="s">
        <v>20</v>
      </c>
      <c r="C3" s="11"/>
      <c r="D3" s="266" t="str">
        <f>B3&amp;" - "&amp;VLOOKUP(B3,'NOMS INDEX'!A1:B24,2,FALSE)</f>
        <v>TP02 - Travaux de génie civil et d’ouvrages d’art neufs ou rénovation</v>
      </c>
      <c r="E3" s="266"/>
      <c r="F3" s="266"/>
      <c r="G3" s="266"/>
      <c r="H3" s="266"/>
      <c r="I3" s="266"/>
      <c r="J3" s="266"/>
      <c r="K3" s="266"/>
      <c r="L3" s="266"/>
      <c r="N3" s="273" t="s">
        <v>179</v>
      </c>
      <c r="O3" s="114">
        <v>43101</v>
      </c>
    </row>
    <row r="4" spans="1:16">
      <c r="A4" s="11"/>
      <c r="B4" s="11"/>
      <c r="C4" s="11"/>
      <c r="D4" s="11"/>
      <c r="E4" s="11"/>
      <c r="F4" s="11"/>
      <c r="G4" s="11"/>
      <c r="H4" s="11"/>
      <c r="I4" s="11"/>
      <c r="J4" s="11"/>
      <c r="K4" s="11"/>
      <c r="N4" s="273"/>
      <c r="O4" s="114">
        <v>46143</v>
      </c>
    </row>
    <row r="5" spans="1:16">
      <c r="A5" s="48"/>
      <c r="B5" s="48"/>
      <c r="C5" s="48"/>
      <c r="D5" s="48"/>
      <c r="E5" s="48"/>
      <c r="F5" s="11"/>
      <c r="G5" s="49"/>
      <c r="H5" s="49"/>
      <c r="I5" s="11"/>
      <c r="J5" s="11"/>
      <c r="K5" s="11"/>
      <c r="L5" s="11"/>
      <c r="M5" s="11"/>
      <c r="N5" s="11"/>
    </row>
    <row r="6" spans="1:16">
      <c r="A6" s="39" t="str">
        <f>"Evolution du TP01 et du "&amp;B3</f>
        <v>Evolution du TP01 et du TP02</v>
      </c>
      <c r="B6" s="39"/>
      <c r="C6" s="39"/>
      <c r="D6" s="39"/>
      <c r="E6" s="39"/>
      <c r="F6" s="39"/>
      <c r="G6" s="50"/>
      <c r="H6" s="50"/>
      <c r="I6" s="50"/>
      <c r="J6" s="11"/>
      <c r="K6" s="265" t="str">
        <f>"Composition globale du "&amp;B3</f>
        <v>Composition globale du TP02</v>
      </c>
      <c r="L6" s="265"/>
      <c r="M6" s="265"/>
      <c r="N6" s="265"/>
      <c r="O6" s="265"/>
    </row>
    <row r="7" spans="1:16">
      <c r="A7" s="11"/>
      <c r="B7" s="11"/>
      <c r="C7" s="11"/>
      <c r="D7" s="11"/>
      <c r="E7" s="11"/>
      <c r="F7" s="11"/>
      <c r="G7" s="49"/>
      <c r="H7" s="49"/>
      <c r="I7" s="49"/>
      <c r="J7" s="11"/>
      <c r="K7" s="11"/>
      <c r="L7" s="11"/>
      <c r="M7" s="11"/>
      <c r="N7" s="11"/>
    </row>
    <row r="8" spans="1:16">
      <c r="A8" s="51"/>
      <c r="B8" s="51"/>
      <c r="C8" s="51"/>
      <c r="D8" s="11"/>
      <c r="E8" s="11"/>
      <c r="F8" s="11"/>
      <c r="G8" s="274" t="str">
        <f>"Evolution entre "&amp;TEXT(DATE1,"mmm. aaaa")&amp;" et "&amp;TEXT(DATE2,"mmm. aaaa")</f>
        <v>Evolution entre janv. 2018 et mai. 2026</v>
      </c>
      <c r="H8" s="274"/>
      <c r="I8" s="274"/>
      <c r="J8" s="11"/>
      <c r="K8" s="11"/>
      <c r="L8" s="11"/>
      <c r="M8" s="11"/>
      <c r="N8" s="11"/>
    </row>
    <row r="9" spans="1:16">
      <c r="A9" s="53"/>
      <c r="B9" s="54"/>
      <c r="C9" s="54"/>
      <c r="D9" s="11"/>
      <c r="E9" s="11"/>
      <c r="F9" s="11"/>
      <c r="G9" s="55" t="s">
        <v>19</v>
      </c>
      <c r="H9" s="56">
        <f>INDEX('DONNEES DATE A DATE'!U15:W37,MATCH(G9,'DONNEES DATE A DATE'!U15:U37,0),3)</f>
        <v>0.30848089468779127</v>
      </c>
      <c r="I9" s="11"/>
      <c r="J9" s="52"/>
      <c r="K9" s="11"/>
      <c r="L9" s="11"/>
      <c r="M9" s="11"/>
      <c r="N9" s="11"/>
    </row>
    <row r="10" spans="1:16">
      <c r="A10" s="11"/>
      <c r="B10" s="11"/>
      <c r="C10" s="11"/>
      <c r="D10" s="11"/>
      <c r="E10" s="11"/>
      <c r="F10" s="11"/>
      <c r="G10" s="57" t="str">
        <f>B3</f>
        <v>TP02</v>
      </c>
      <c r="H10" s="58">
        <f>INDEX('DONNEES DATE A DATE'!U15:W38,MATCH(G10,'DONNEES DATE A DATE'!U15:U38,0),3)</f>
        <v>0.26798561151079126</v>
      </c>
      <c r="I10" s="11"/>
      <c r="J10" s="56"/>
      <c r="K10" s="11"/>
      <c r="L10" s="11"/>
      <c r="M10" s="11"/>
      <c r="N10" s="11"/>
    </row>
    <row r="11" spans="1:16">
      <c r="A11" s="11"/>
      <c r="B11" s="11"/>
      <c r="C11" s="11"/>
      <c r="D11" s="11"/>
      <c r="E11" s="11"/>
      <c r="F11" s="11"/>
      <c r="G11" s="11"/>
      <c r="H11" s="11"/>
      <c r="I11" s="49"/>
      <c r="J11" s="58"/>
      <c r="K11" s="11"/>
      <c r="L11" s="11"/>
      <c r="M11" s="11"/>
      <c r="N11" s="11"/>
    </row>
    <row r="12" spans="1:16">
      <c r="A12" s="11"/>
      <c r="B12" s="11"/>
      <c r="C12" s="11"/>
      <c r="D12" s="11"/>
      <c r="E12" s="11"/>
      <c r="F12" s="11"/>
      <c r="G12" s="260" t="str">
        <f>"Part du "&amp;B3&amp;" dans le TP01"</f>
        <v>Part du TP02 dans le TP01</v>
      </c>
      <c r="H12" s="260"/>
      <c r="I12" s="260"/>
      <c r="J12" s="11"/>
      <c r="K12" s="11"/>
      <c r="L12" s="11"/>
      <c r="M12" s="11"/>
      <c r="N12" s="11"/>
      <c r="P12" s="97"/>
    </row>
    <row r="13" spans="1:16">
      <c r="A13" s="11"/>
      <c r="B13" s="11"/>
      <c r="C13" s="11"/>
      <c r="D13" s="11"/>
      <c r="E13" s="11"/>
      <c r="F13" s="11"/>
      <c r="G13" s="11"/>
      <c r="H13" s="11"/>
      <c r="I13" s="11"/>
      <c r="J13" s="11"/>
      <c r="K13" s="11"/>
      <c r="L13" s="11"/>
      <c r="M13" s="11"/>
      <c r="N13" s="11"/>
    </row>
    <row r="14" spans="1:16">
      <c r="A14" s="11"/>
      <c r="B14" s="11"/>
      <c r="C14" s="11"/>
      <c r="D14" s="11"/>
      <c r="E14" s="11"/>
      <c r="F14" s="11"/>
      <c r="G14" s="11"/>
      <c r="H14" s="11"/>
      <c r="I14" s="11"/>
      <c r="J14" s="11"/>
      <c r="K14" s="11"/>
      <c r="L14" s="11"/>
      <c r="M14" s="11"/>
      <c r="N14" s="11"/>
    </row>
    <row r="15" spans="1:16">
      <c r="A15" s="59"/>
      <c r="B15" s="11"/>
      <c r="C15" s="11"/>
      <c r="D15" s="11"/>
      <c r="E15" s="11"/>
      <c r="F15" s="11"/>
      <c r="G15" s="52"/>
      <c r="H15" s="11"/>
      <c r="I15" s="11"/>
      <c r="J15" s="11"/>
      <c r="K15" s="11"/>
      <c r="L15" s="11"/>
      <c r="M15" s="11"/>
      <c r="N15" s="11"/>
    </row>
    <row r="16" spans="1:16">
      <c r="A16" s="11"/>
      <c r="B16" s="11"/>
      <c r="C16" s="11"/>
      <c r="D16" s="11"/>
      <c r="E16" s="11"/>
      <c r="F16" s="11"/>
      <c r="G16" s="56"/>
      <c r="H16" s="11"/>
      <c r="I16" s="11"/>
      <c r="J16" s="11"/>
      <c r="K16" s="11"/>
      <c r="L16" s="11"/>
      <c r="M16" s="11"/>
      <c r="N16" s="11"/>
    </row>
    <row r="17" spans="1:15">
      <c r="A17" s="11"/>
      <c r="B17" s="11"/>
      <c r="C17" s="11"/>
      <c r="D17" s="11"/>
      <c r="E17" s="11"/>
      <c r="F17" s="11"/>
      <c r="G17" s="56"/>
      <c r="H17" s="11"/>
      <c r="I17" s="11"/>
      <c r="J17" s="11"/>
      <c r="K17" s="11"/>
      <c r="L17" s="11"/>
      <c r="M17" s="11"/>
      <c r="N17" s="11"/>
    </row>
    <row r="18" spans="1:15">
      <c r="A18" s="265" t="s">
        <v>161</v>
      </c>
      <c r="B18" s="265"/>
      <c r="C18" s="265"/>
      <c r="D18" s="265"/>
      <c r="E18" s="265"/>
      <c r="F18" s="265"/>
      <c r="G18" s="265"/>
      <c r="H18" s="265"/>
      <c r="I18" s="265"/>
      <c r="J18" s="265"/>
      <c r="K18" s="265"/>
      <c r="L18" s="265"/>
      <c r="M18" s="265"/>
      <c r="N18" s="265"/>
      <c r="O18" s="265"/>
    </row>
    <row r="19" spans="1:15">
      <c r="A19" s="11"/>
      <c r="B19" s="11"/>
      <c r="C19" s="11"/>
      <c r="D19" s="11"/>
      <c r="E19" s="267" t="str">
        <f>B20</f>
        <v>Evolution entre janv. 2018 et mai. 2026</v>
      </c>
      <c r="F19" s="267"/>
      <c r="G19" s="267"/>
      <c r="H19" s="267"/>
      <c r="I19" s="11"/>
      <c r="J19" s="11"/>
      <c r="K19" s="11"/>
      <c r="L19" s="11"/>
      <c r="M19" s="11"/>
      <c r="N19" s="11"/>
    </row>
    <row r="20" spans="1:15" ht="24">
      <c r="A20" s="60"/>
      <c r="B20" s="275" t="str">
        <f>"Evolution entre "&amp;TEXT(DATE1,"mmm. aaaa")&amp;" et "&amp;TEXT(DATE2,"mmm. aaaa")</f>
        <v>Evolution entre janv. 2018 et mai. 2026</v>
      </c>
      <c r="C20" s="275"/>
      <c r="D20" s="61" t="str">
        <f>"Part dans le "&amp;B3</f>
        <v>Part dans le TP02</v>
      </c>
      <c r="E20" s="11"/>
      <c r="F20" s="11"/>
      <c r="G20" s="11"/>
      <c r="H20" s="11"/>
      <c r="I20" s="11"/>
      <c r="J20" s="11"/>
      <c r="K20" s="11"/>
      <c r="L20" s="11"/>
      <c r="M20" s="11"/>
      <c r="N20" s="11"/>
    </row>
    <row r="21" spans="1:15">
      <c r="A21" s="62" t="s">
        <v>115</v>
      </c>
      <c r="B21" s="276">
        <f>INDEX('DONNEES DATE A DATE'!R15:S55,MATCH(A21,'DONNEES DATE A DATE'!R15:R55,0),2)</f>
        <v>0.2276657060518732</v>
      </c>
      <c r="C21" s="276"/>
      <c r="D21" s="64">
        <f>INDEX(compo_index,MATCH(B3,'COMPOSITION INDEX'!A1:A27,0),MATCH(A21,'COMPOSITION INDEX'!A2:AR2,0))</f>
        <v>0.21</v>
      </c>
      <c r="E21" s="11"/>
      <c r="F21" s="11"/>
      <c r="G21" s="11"/>
      <c r="H21" s="11"/>
      <c r="I21" s="11"/>
      <c r="J21" s="11"/>
      <c r="K21" s="11"/>
      <c r="L21" s="11"/>
      <c r="M21" s="11"/>
      <c r="N21" s="11"/>
    </row>
    <row r="22" spans="1:15">
      <c r="A22" s="62" t="s">
        <v>116</v>
      </c>
      <c r="B22" s="272">
        <f>INDEX('DONNEES DATE A DATE'!R15:S55,MATCH(A22,'DONNEES DATE A DATE'!R15:R55,0),2)</f>
        <v>0.2139219015280136</v>
      </c>
      <c r="C22" s="272"/>
      <c r="D22" s="64">
        <f>INDEX(compo_index,MATCH(B3,'COMPOSITION INDEX'!A1:A27,0),MATCH(A22,'COMPOSITION INDEX'!A2:AR2,0))</f>
        <v>0.5</v>
      </c>
      <c r="E22" s="11"/>
      <c r="F22" s="11"/>
      <c r="G22" s="11"/>
      <c r="H22" s="11"/>
      <c r="I22" s="11"/>
      <c r="J22" s="11"/>
      <c r="K22" s="11"/>
      <c r="L22" s="11"/>
      <c r="M22" s="11"/>
      <c r="N22" s="11"/>
    </row>
    <row r="23" spans="1:15">
      <c r="A23" s="65" t="s">
        <v>316</v>
      </c>
      <c r="B23" s="272">
        <f>INDEX('DONNEES DATE A DATE'!R15:S55,MATCH(A23,'DONNEES DATE A DATE'!R15:R55,0),2)</f>
        <v>1.0722926873680283</v>
      </c>
      <c r="C23" s="272"/>
      <c r="D23" s="64">
        <f>INDEX(compo_index,MATCH(B3,'COMPOSITION INDEX'!A1:A27,0),MATCH(A23,'COMPOSITION INDEX'!A2:AR2,0))</f>
        <v>0.01</v>
      </c>
      <c r="E23" s="11"/>
      <c r="F23" s="11"/>
      <c r="G23" s="11"/>
      <c r="H23" s="11"/>
      <c r="I23" s="11"/>
      <c r="J23" s="11"/>
      <c r="K23" s="11"/>
      <c r="L23" s="11"/>
      <c r="M23" s="11"/>
      <c r="N23" s="11"/>
    </row>
    <row r="24" spans="1:15">
      <c r="A24" s="62" t="s">
        <v>118</v>
      </c>
      <c r="B24" s="272">
        <f>INDEX('DONNEES DATE A DATE'!R15:S55,MATCH(A24,'DONNEES DATE A DATE'!R15:R55,0),2)</f>
        <v>0.51815561959654155</v>
      </c>
      <c r="C24" s="272"/>
      <c r="D24" s="64">
        <f>INDEX(compo_index,MATCH(B3,'COMPOSITION INDEX'!A1:A27,0),MATCH(A24,'COMPOSITION INDEX'!A2:AR2,0))</f>
        <v>0</v>
      </c>
      <c r="E24" s="11"/>
      <c r="F24" s="54"/>
      <c r="G24" s="11"/>
      <c r="H24" s="11"/>
      <c r="I24" s="11"/>
      <c r="J24" s="11"/>
      <c r="K24" s="11"/>
      <c r="L24" s="11"/>
      <c r="M24" s="11"/>
      <c r="N24" s="11"/>
    </row>
    <row r="25" spans="1:15">
      <c r="A25" s="65" t="s">
        <v>119</v>
      </c>
      <c r="B25" s="272">
        <f>INDEX('DONNEES DATE A DATE'!R15:S55,MATCH(A25,'DONNEES DATE A DATE'!R15:R55,0),2)</f>
        <v>0.1891625615763548</v>
      </c>
      <c r="C25" s="272"/>
      <c r="D25" s="64">
        <f>INDEX(compo_index,MATCH(B3,'COMPOSITION INDEX'!A1:A27,0),MATCH(A25,'COMPOSITION INDEX'!A2:AR2,0))</f>
        <v>0.01</v>
      </c>
      <c r="E25" s="11"/>
      <c r="F25" s="66"/>
      <c r="G25" s="11"/>
      <c r="H25" s="11"/>
      <c r="I25" s="11"/>
      <c r="J25" s="11"/>
      <c r="K25" s="11"/>
      <c r="L25" s="11"/>
      <c r="M25" s="11"/>
      <c r="N25" s="11"/>
    </row>
    <row r="26" spans="1:15">
      <c r="A26" s="65" t="s">
        <v>162</v>
      </c>
      <c r="B26" s="277">
        <f>INDEX('DONNEES DATE A DATE'!R15:S55,MATCH('DONNEES DATE A DATE'!L21,'DONNEES DATE A DATE'!R15:R55,0),2)</f>
        <v>0.20069504778453506</v>
      </c>
      <c r="C26" s="277"/>
      <c r="D26" s="64">
        <f>INDEX(compo_index,MATCH(B3,'COMPOSITION INDEX'!A1:A27,0),MATCH('DONNEES DATE A DATE'!I10,'COMPOSITION INDEX'!A2:AR2,0))</f>
        <v>0.01</v>
      </c>
      <c r="E26" s="11"/>
      <c r="F26" s="11"/>
      <c r="G26" s="11"/>
      <c r="H26" s="11"/>
      <c r="I26" s="11"/>
      <c r="J26" s="11"/>
      <c r="K26" s="11"/>
      <c r="L26" s="11"/>
      <c r="M26" s="11"/>
      <c r="N26" s="11"/>
    </row>
    <row r="27" spans="1:15">
      <c r="A27" s="67" t="s">
        <v>163</v>
      </c>
      <c r="B27" s="11"/>
      <c r="C27" s="12"/>
      <c r="D27" s="70">
        <f>SUM(D21:D26)</f>
        <v>0.74</v>
      </c>
      <c r="E27" s="11"/>
      <c r="F27" s="11"/>
      <c r="G27" s="11"/>
      <c r="H27" s="11"/>
      <c r="I27" s="11"/>
      <c r="J27" s="11"/>
      <c r="K27" s="11"/>
      <c r="L27" s="11"/>
      <c r="M27" s="11"/>
      <c r="N27" s="11"/>
    </row>
    <row r="28" spans="1:15">
      <c r="A28" s="11"/>
      <c r="B28" s="11"/>
      <c r="C28" s="11"/>
      <c r="D28" s="11"/>
      <c r="E28" s="11"/>
      <c r="F28" s="11"/>
      <c r="G28" s="11"/>
      <c r="H28" s="11"/>
      <c r="I28" s="11"/>
      <c r="J28" s="11"/>
      <c r="K28" s="11"/>
      <c r="L28" s="11"/>
      <c r="M28" s="11"/>
      <c r="N28" s="11"/>
    </row>
    <row r="29" spans="1:15">
      <c r="A29" s="71" t="s">
        <v>177</v>
      </c>
      <c r="B29" s="11"/>
      <c r="C29" s="11"/>
      <c r="D29" s="11"/>
      <c r="E29" s="11"/>
      <c r="F29" s="11"/>
      <c r="G29" s="11"/>
      <c r="H29" s="11"/>
      <c r="I29" s="11"/>
      <c r="J29" s="11"/>
      <c r="K29" s="87"/>
      <c r="L29" s="11"/>
      <c r="M29" s="11"/>
      <c r="N29" s="11"/>
    </row>
    <row r="30" spans="1:15">
      <c r="A30" s="265" t="str">
        <f>"Evolution des indices spécifiques au "&amp;B3</f>
        <v>Evolution des indices spécifiques au TP02</v>
      </c>
      <c r="B30" s="265"/>
      <c r="C30" s="265"/>
      <c r="D30" s="265"/>
      <c r="E30" s="265"/>
      <c r="F30" s="265"/>
      <c r="G30" s="265"/>
      <c r="H30" s="265"/>
      <c r="I30" s="265"/>
      <c r="J30" s="265"/>
      <c r="K30" s="265"/>
      <c r="L30" s="265"/>
      <c r="M30" s="265"/>
      <c r="N30" s="265"/>
      <c r="O30" s="265"/>
    </row>
    <row r="31" spans="1:15" ht="24" customHeight="1">
      <c r="A31" s="262" t="s">
        <v>177</v>
      </c>
      <c r="B31" s="262"/>
      <c r="C31" s="262"/>
      <c r="D31" s="262"/>
      <c r="E31" s="262"/>
      <c r="F31" s="262"/>
      <c r="G31" s="275" t="str">
        <f>"Evolution entre "&amp;TEXT(DATE1,"mmm. aaaa")&amp;" et "&amp;TEXT(DATE2,"mmm. aaaa")</f>
        <v>Evolution entre janv. 2018 et mai. 2026</v>
      </c>
      <c r="H31" s="275"/>
      <c r="I31" s="72" t="str">
        <f>"Part dans le "&amp;B3</f>
        <v>Part dans le TP02</v>
      </c>
      <c r="J31" s="11"/>
      <c r="K31" s="11"/>
      <c r="L31" s="11"/>
      <c r="M31" s="11"/>
      <c r="N31" s="73"/>
    </row>
    <row r="32" spans="1:15">
      <c r="A32" s="74" t="str">
        <f>IF(('DONNEES DATE A DATE'!O15&lt;&gt;0)*(O15&lt;&gt;A21),'DONNEES DATE A DATE'!N15,"")</f>
        <v>Travail</v>
      </c>
      <c r="B32" s="11"/>
      <c r="C32" s="11"/>
      <c r="D32" s="11"/>
      <c r="E32" s="11"/>
      <c r="F32" s="11"/>
      <c r="G32" s="272">
        <f>IF('DONNEES DATE A DATE'!O15&lt;&gt;0,VLOOKUP('DONNEES DATE A DATE'!N15,'DONNEES DATE A DATE'!$R$15:$S$55,2,FALSE),"")</f>
        <v>0.2139219015280136</v>
      </c>
      <c r="H32" s="272"/>
      <c r="I32" s="145">
        <f>IF('DONNEES DATE A DATE'!O15&lt;&gt;0,'DONNEES DATE A DATE'!O15,"")</f>
        <v>0.5</v>
      </c>
      <c r="J32" s="11"/>
      <c r="K32" s="11"/>
      <c r="L32" s="11"/>
      <c r="M32" s="11"/>
      <c r="N32" s="11"/>
    </row>
    <row r="33" spans="1:14">
      <c r="A33" s="74" t="str">
        <f>IF('DONNEES DATE A DATE'!O16&lt;&gt;0,'DONNEES DATE A DATE'!N16,"")</f>
        <v>Matériel</v>
      </c>
      <c r="B33" s="11"/>
      <c r="C33" s="11"/>
      <c r="D33" s="11"/>
      <c r="E33" s="11"/>
      <c r="F33" s="11"/>
      <c r="G33" s="272">
        <f>IF('DONNEES DATE A DATE'!O16&lt;&gt;0,VLOOKUP('DONNEES DATE A DATE'!N16,'DONNEES DATE A DATE'!$R$15:$S$55,2,FALSE),"")</f>
        <v>0.2276657060518732</v>
      </c>
      <c r="H33" s="272"/>
      <c r="I33" s="145">
        <f>IF('DONNEES DATE A DATE'!O16&lt;&gt;0,'DONNEES DATE A DATE'!O16,"")</f>
        <v>0.21</v>
      </c>
      <c r="J33" s="11"/>
      <c r="K33" s="11"/>
      <c r="L33" s="11"/>
      <c r="M33" s="11"/>
      <c r="N33" s="11"/>
    </row>
    <row r="34" spans="1:14">
      <c r="A34" s="74" t="str">
        <f>IF('DONNEES DATE A DATE'!O17&lt;&gt;0,'DONNEES DATE A DATE'!N17,"")</f>
        <v>Béton prêt à l'emploi</v>
      </c>
      <c r="B34" s="11"/>
      <c r="C34" s="11"/>
      <c r="D34" s="11"/>
      <c r="E34" s="11"/>
      <c r="F34" s="11"/>
      <c r="G34" s="272">
        <f>IF('DONNEES DATE A DATE'!O17&lt;&gt;0,VLOOKUP('DONNEES DATE A DATE'!N17,'DONNEES DATE A DATE'!$R$15:$S$55,2,FALSE),"")</f>
        <v>0.45791867469879555</v>
      </c>
      <c r="H34" s="272"/>
      <c r="I34" s="145">
        <f>IF('DONNEES DATE A DATE'!O17&lt;&gt;0,'DONNEES DATE A DATE'!O17,"")</f>
        <v>0.12</v>
      </c>
      <c r="J34" s="72"/>
      <c r="K34" s="11"/>
      <c r="L34" s="11"/>
      <c r="M34" s="11"/>
      <c r="N34" s="11"/>
    </row>
    <row r="35" spans="1:14">
      <c r="A35" s="74" t="str">
        <f>IF('DONNEES DATE A DATE'!O18&lt;&gt;0,'DONNEES DATE A DATE'!N18,"")</f>
        <v>Barres crénelées ou nervurées pour béton armé</v>
      </c>
      <c r="B35" s="11"/>
      <c r="C35" s="11"/>
      <c r="D35" s="11"/>
      <c r="E35" s="11"/>
      <c r="F35" s="11"/>
      <c r="G35" s="272">
        <f>IF('DONNEES DATE A DATE'!O18&lt;&gt;0,VLOOKUP('DONNEES DATE A DATE'!N18,'DONNEES DATE A DATE'!$R$15:$S$55,2,FALSE),"")</f>
        <v>0.26804366197183116</v>
      </c>
      <c r="H35" s="272"/>
      <c r="I35" s="145">
        <f>IF('DONNEES DATE A DATE'!O18&lt;&gt;0,'DONNEES DATE A DATE'!O18,"")</f>
        <v>0.1</v>
      </c>
      <c r="J35" s="75"/>
      <c r="K35" s="72"/>
      <c r="L35" s="11"/>
      <c r="M35" s="11"/>
      <c r="N35" s="11"/>
    </row>
    <row r="36" spans="1:14">
      <c r="A36" s="74" t="str">
        <f>IF('DONNEES DATE A DATE'!O19&lt;&gt;0,'DONNEES DATE A DATE'!N19,"")</f>
        <v>GNR pour les Travaux Publics</v>
      </c>
      <c r="B36" s="11"/>
      <c r="C36" s="11"/>
      <c r="D36" s="11"/>
      <c r="E36" s="11"/>
      <c r="F36" s="11"/>
      <c r="G36" s="272">
        <f>IF('DONNEES DATE A DATE'!O19&lt;&gt;0,VLOOKUP('DONNEES DATE A DATE'!N19,'DONNEES DATE A DATE'!$R$15:$S$55,2,FALSE),"")</f>
        <v>1.0722926873680283</v>
      </c>
      <c r="H36" s="272"/>
      <c r="I36" s="145">
        <f>IF('DONNEES DATE A DATE'!O19&lt;&gt;0,'DONNEES DATE A DATE'!O19,"")</f>
        <v>0.01</v>
      </c>
      <c r="J36" s="75"/>
      <c r="K36" s="75"/>
      <c r="L36" s="11"/>
      <c r="M36" s="11"/>
      <c r="N36" s="11"/>
    </row>
    <row r="37" spans="1:14">
      <c r="A37" s="74" t="str">
        <f>IF('DONNEES DATE A DATE'!O20&lt;&gt;0,'DONNEES DATE A DATE'!N20,"")</f>
        <v>Frais divers</v>
      </c>
      <c r="B37" s="11"/>
      <c r="C37" s="11"/>
      <c r="D37" s="11"/>
      <c r="E37" s="11"/>
      <c r="F37" s="11"/>
      <c r="G37" s="272">
        <f>IF('DONNEES DATE A DATE'!O20&lt;&gt;0,VLOOKUP('DONNEES DATE A DATE'!N20,'DONNEES DATE A DATE'!$R$15:$S$55,2,FALSE),"")</f>
        <v>0.1891625615763548</v>
      </c>
      <c r="H37" s="272"/>
      <c r="I37" s="145">
        <f>IF('DONNEES DATE A DATE'!O20&lt;&gt;0,'DONNEES DATE A DATE'!O20,"")</f>
        <v>0.01</v>
      </c>
      <c r="J37" s="75"/>
      <c r="K37" s="75"/>
      <c r="L37" s="11"/>
      <c r="M37" s="11"/>
      <c r="N37" s="11"/>
    </row>
    <row r="38" spans="1:14">
      <c r="A38" s="74" t="str">
        <f>IF(('DONNEES DATE A DATE'!O21&lt;&gt;0)*(O21&lt;&gt;A27),'DONNEES DATE A DATE'!N21,"")</f>
        <v>Transports routiers</v>
      </c>
      <c r="B38" s="11"/>
      <c r="C38" s="11"/>
      <c r="D38" s="11"/>
      <c r="E38" s="11"/>
      <c r="F38" s="11"/>
      <c r="G38" s="272">
        <f>IF('DONNEES DATE A DATE'!O21&lt;&gt;0,VLOOKUP('DONNEES DATE A DATE'!N21,'DONNEES DATE A DATE'!$R$15:$S$55,2,FALSE),"")</f>
        <v>0.2234848484848484</v>
      </c>
      <c r="H38" s="272"/>
      <c r="I38" s="145">
        <f>IF('DONNEES DATE A DATE'!O21&lt;&gt;0,'DONNEES DATE A DATE'!O21,"")</f>
        <v>0.01</v>
      </c>
      <c r="J38" s="75"/>
      <c r="K38" s="75"/>
      <c r="L38" s="11"/>
      <c r="M38" s="11"/>
      <c r="N38" s="11"/>
    </row>
    <row r="39" spans="1:14">
      <c r="A39" s="74" t="str">
        <f>IF('DONNEES DATE A DATE'!O22&lt;&gt;0,'DONNEES DATE A DATE'!N22,"")</f>
        <v>Électricité vendue aux entreprises consommatrices finales</v>
      </c>
      <c r="B39" s="11"/>
      <c r="C39" s="11"/>
      <c r="D39" s="11"/>
      <c r="E39" s="11"/>
      <c r="F39" s="11"/>
      <c r="G39" s="272">
        <f>IF('DONNEES DATE A DATE'!O22&lt;&gt;0,VLOOKUP('DONNEES DATE A DATE'!N22,'DONNEES DATE A DATE'!$R$15:$S$55,2,FALSE),"")</f>
        <v>0.24572691244239642</v>
      </c>
      <c r="H39" s="272"/>
      <c r="I39" s="145">
        <f>IF('DONNEES DATE A DATE'!O22&lt;&gt;0,'DONNEES DATE A DATE'!O22,"")</f>
        <v>0.01</v>
      </c>
      <c r="J39" s="75"/>
      <c r="K39" s="75"/>
      <c r="L39" s="11"/>
      <c r="M39" s="11"/>
      <c r="N39" s="11"/>
    </row>
    <row r="40" spans="1:14">
      <c r="A40" s="74" t="str">
        <f>IF('DONNEES DATE A DATE'!O23&lt;&gt;0,'DONNEES DATE A DATE'!N23,"")</f>
        <v>Tubes, tuyaux en matière plastique</v>
      </c>
      <c r="B40" s="11"/>
      <c r="C40" s="11"/>
      <c r="D40" s="11"/>
      <c r="E40" s="11"/>
      <c r="F40" s="11"/>
      <c r="G40" s="272">
        <f>IF('DONNEES DATE A DATE'!O23&lt;&gt;0,VLOOKUP('DONNEES DATE A DATE'!N23,'DONNEES DATE A DATE'!$R$15:$S$55,2,FALSE),"")</f>
        <v>0.3779994939271254</v>
      </c>
      <c r="H40" s="272"/>
      <c r="I40" s="145">
        <f>IF('DONNEES DATE A DATE'!O23&lt;&gt;0,'DONNEES DATE A DATE'!O23,"")</f>
        <v>0.01</v>
      </c>
      <c r="J40" s="76" t="s">
        <v>177</v>
      </c>
      <c r="K40" s="75"/>
      <c r="L40" s="11"/>
      <c r="M40" s="77"/>
      <c r="N40" s="11"/>
    </row>
    <row r="41" spans="1:14">
      <c r="A41" s="74" t="str">
        <f>IF('DONNEES DATE A DATE'!O24&lt;&gt;0,'DONNEES DATE A DATE'!N24,"")</f>
        <v>Ensemble des produits du sciage</v>
      </c>
      <c r="B41" s="11"/>
      <c r="C41" s="11"/>
      <c r="D41" s="11"/>
      <c r="E41" s="11"/>
      <c r="F41" s="11"/>
      <c r="G41" s="272">
        <f>IF('DONNEES DATE A DATE'!O24&lt;&gt;0,VLOOKUP('DONNEES DATE A DATE'!N24,'DONNEES DATE A DATE'!$R$15:$S$55,2,FALSE),"")</f>
        <v>0.40097799511002452</v>
      </c>
      <c r="H41" s="272"/>
      <c r="I41" s="145">
        <f>IF('DONNEES DATE A DATE'!O24&lt;&gt;0,'DONNEES DATE A DATE'!O24,"")</f>
        <v>0.01</v>
      </c>
      <c r="J41" s="11"/>
      <c r="K41" s="75"/>
      <c r="L41" s="11"/>
      <c r="M41" s="11"/>
      <c r="N41" s="11"/>
    </row>
    <row r="42" spans="1:14">
      <c r="A42" s="74" t="str">
        <f>IF('DONNEES DATE A DATE'!O25&lt;&gt;0,'DONNEES DATE A DATE'!N25,"")</f>
        <v>Traitement et élimination des déchets non dangereux</v>
      </c>
      <c r="G42" s="272">
        <f>IF('DONNEES DATE A DATE'!O25&lt;&gt;0,VLOOKUP('DONNEES DATE A DATE'!N25,'DONNEES DATE A DATE'!$R$15:$S$55,2,FALSE),"")</f>
        <v>0.32819641170915959</v>
      </c>
      <c r="H42" s="272"/>
      <c r="I42" s="145">
        <f>IF('DONNEES DATE A DATE'!O25&lt;&gt;0,'DONNEES DATE A DATE'!O25,"")</f>
        <v>0.01</v>
      </c>
    </row>
    <row r="43" spans="1:14">
      <c r="A43" s="74" t="str">
        <f>IF('DONNEES DATE A DATE'!O26&lt;&gt;0,'DONNEES DATE A DATE'!N26,"")</f>
        <v/>
      </c>
      <c r="G43" s="272" t="str">
        <f>IF('DONNEES DATE A DATE'!O26&lt;&gt;0,VLOOKUP('DONNEES DATE A DATE'!N26,'DONNEES DATE A DATE'!$R$15:$S$55,2,FALSE),"")</f>
        <v/>
      </c>
      <c r="H43" s="272"/>
      <c r="I43" s="145" t="str">
        <f>IF('DONNEES DATE A DATE'!O26&lt;&gt;0,'DONNEES DATE A DATE'!O26,"")</f>
        <v/>
      </c>
      <c r="L43" s="33"/>
    </row>
    <row r="44" spans="1:14">
      <c r="A44" s="74" t="str">
        <f>IF('DONNEES DATE A DATE'!O27&lt;&gt;0,'DONNEES DATE A DATE'!N27,"")</f>
        <v/>
      </c>
      <c r="G44" s="272" t="str">
        <f>IF('DONNEES DATE A DATE'!O27&lt;&gt;0,VLOOKUP('DONNEES DATE A DATE'!N27,'DONNEES DATE A DATE'!$R$15:$S$55,2,FALSE),"")</f>
        <v/>
      </c>
      <c r="H44" s="272"/>
      <c r="I44" s="145" t="str">
        <f>IF('DONNEES DATE A DATE'!O27&lt;&gt;0,'DONNEES DATE A DATE'!O27,"")</f>
        <v/>
      </c>
      <c r="L44" s="74"/>
    </row>
    <row r="45" spans="1:14">
      <c r="A45" t="s">
        <v>365</v>
      </c>
      <c r="G45" s="272" t="str">
        <f>IF('DONNEES DATE A DATE'!O28&lt;&gt;0,VLOOKUP('DONNEES DATE A DATE'!N28,'DONNEES DATE A DATE'!$R$15:$S$55,2,FALSE),"")</f>
        <v/>
      </c>
      <c r="H45" s="272"/>
      <c r="I45" s="145" t="str">
        <f>IF('DONNEES DATE A DATE'!O28&lt;&gt;0,'DONNEES DATE A DATE'!O28,"")</f>
        <v/>
      </c>
      <c r="L45" s="74"/>
    </row>
    <row r="46" spans="1:14">
      <c r="A46" t="s">
        <v>364</v>
      </c>
      <c r="G46" s="272" t="str">
        <f>IF('DONNEES DATE A DATE'!O29&lt;&gt;0,VLOOKUP('DONNEES DATE A DATE'!N29,'DONNEES DATE A DATE'!$R$15:$S$55,2,FALSE),"")</f>
        <v/>
      </c>
      <c r="H46" s="272"/>
      <c r="I46" s="145" t="str">
        <f>IF('DONNEES DATE A DATE'!O29&lt;&gt;0,'DONNEES DATE A DATE'!O29,"")</f>
        <v/>
      </c>
    </row>
    <row r="47" spans="1:14">
      <c r="G47" s="272" t="str">
        <f>IF('DONNEES DATE A DATE'!O30&lt;&gt;0,VLOOKUP('DONNEES DATE A DATE'!N30,'DONNEES DATE A DATE'!$R$15:$S$55,2,FALSE),"")</f>
        <v/>
      </c>
      <c r="H47" s="272"/>
      <c r="I47" s="145" t="str">
        <f>IF('DONNEES DATE A DATE'!O30&lt;&gt;0,'DONNEES DATE A DATE'!O30,"")</f>
        <v/>
      </c>
    </row>
    <row r="48" spans="1:14">
      <c r="A48" t="s">
        <v>363</v>
      </c>
      <c r="G48" s="272" t="str">
        <f>IF('DONNEES DATE A DATE'!O31&lt;&gt;0,VLOOKUP('DONNEES DATE A DATE'!N31,'DONNEES DATE A DATE'!$R$15:$S$55,2,FALSE),"")</f>
        <v/>
      </c>
      <c r="H48" s="272"/>
      <c r="I48" s="145" t="str">
        <f>IF('DONNEES DATE A DATE'!O31&lt;&gt;0,'DONNEES DATE A DATE'!O31,"")</f>
        <v/>
      </c>
    </row>
    <row r="49" spans="1:8">
      <c r="A49" t="s">
        <v>362</v>
      </c>
      <c r="G49" s="272" t="str">
        <f>IF('DONNEES DATE A DATE'!O32&lt;&gt;0,VLOOKUP('DONNEES DATE A DATE'!N32,'DONNEES DATE A DATE'!$R$15:$S$55,2,FALSE),"")</f>
        <v/>
      </c>
      <c r="H49" s="272"/>
    </row>
    <row r="50" spans="1:8">
      <c r="A50" s="74" t="str">
        <f>IF('DONNEES DATE A DATE'!O33&lt;&gt;0,'DONNEES DATE A DATE'!N33,"")</f>
        <v/>
      </c>
      <c r="G50" s="272" t="str">
        <f>IF('DONNEES DATE A DATE'!O33&lt;&gt;0,VLOOKUP('DONNEES DATE A DATE'!N33,'DONNEES DATE A DATE'!$R$15:$S$55,2,FALSE),"")</f>
        <v/>
      </c>
      <c r="H50" s="272"/>
    </row>
    <row r="51" spans="1:8">
      <c r="G51" s="272" t="str">
        <f>IF('DONNEES DATE A DATE'!O34&lt;&gt;0,VLOOKUP('DONNEES DATE A DATE'!N34,'DONNEES DATE A DATE'!$R$15:$S$55,2,FALSE),"")</f>
        <v/>
      </c>
      <c r="H51" s="272"/>
    </row>
    <row r="52" spans="1:8">
      <c r="G52" s="272" t="str">
        <f>IF('DONNEES DATE A DATE'!O35&lt;&gt;0,VLOOKUP('DONNEES DATE A DATE'!N35,'DONNEES DATE A DATE'!$R$15:$S$55,2,FALSE),"")</f>
        <v/>
      </c>
      <c r="H52" s="272"/>
    </row>
    <row r="53" spans="1:8">
      <c r="G53" s="272" t="str">
        <f>IF('DONNEES DATE A DATE'!O36&lt;&gt;0,VLOOKUP('DONNEES DATE A DATE'!N36,'DONNEES DATE A DATE'!$R$15:$S$55,2,FALSE),"")</f>
        <v/>
      </c>
      <c r="H53" s="272"/>
    </row>
    <row r="54" spans="1:8">
      <c r="G54" s="272" t="str">
        <f>IF('DONNEES DATE A DATE'!O37&lt;&gt;0,VLOOKUP('DONNEES DATE A DATE'!N37,'DONNEES DATE A DATE'!$R$15:$S$55,2,FALSE),"")</f>
        <v/>
      </c>
      <c r="H54" s="272"/>
    </row>
    <row r="55" spans="1:8">
      <c r="G55" s="272" t="str">
        <f>IF('DONNEES DATE A DATE'!O38&lt;&gt;0,VLOOKUP('DONNEES DATE A DATE'!N38,'DONNEES DATE A DATE'!$R$15:$S$55,2,FALSE),"")</f>
        <v/>
      </c>
      <c r="H55" s="272"/>
    </row>
    <row r="56" spans="1:8">
      <c r="G56" s="272" t="str">
        <f>IF('DONNEES DATE A DATE'!O39&lt;&gt;0,VLOOKUP('DONNEES DATE A DATE'!N39,'DONNEES DATE A DATE'!$R$15:$S$55,2,FALSE),"")</f>
        <v/>
      </c>
      <c r="H56" s="272"/>
    </row>
    <row r="57" spans="1:8">
      <c r="G57" s="272" t="str">
        <f>IF('DONNEES DATE A DATE'!O40&lt;&gt;0,VLOOKUP('DONNEES DATE A DATE'!N40,'DONNEES DATE A DATE'!$R$15:$S$55,2,FALSE),"")</f>
        <v/>
      </c>
      <c r="H57" s="272"/>
    </row>
    <row r="58" spans="1:8">
      <c r="G58" s="272" t="str">
        <f>IF('DONNEES DATE A DATE'!O41&lt;&gt;0,VLOOKUP('DONNEES DATE A DATE'!N41,'DONNEES DATE A DATE'!$R$15:$S$55,2,FALSE),"")</f>
        <v/>
      </c>
      <c r="H58" s="272"/>
    </row>
  </sheetData>
  <mergeCells count="45">
    <mergeCell ref="G57:H57"/>
    <mergeCell ref="G58:H58"/>
    <mergeCell ref="G52:H52"/>
    <mergeCell ref="G53:H53"/>
    <mergeCell ref="G54:H54"/>
    <mergeCell ref="G55:H55"/>
    <mergeCell ref="G56:H56"/>
    <mergeCell ref="G47:H47"/>
    <mergeCell ref="G48:H48"/>
    <mergeCell ref="G49:H49"/>
    <mergeCell ref="G50:H50"/>
    <mergeCell ref="G51:H51"/>
    <mergeCell ref="A1:O1"/>
    <mergeCell ref="K6:O6"/>
    <mergeCell ref="A18:O18"/>
    <mergeCell ref="A30:O30"/>
    <mergeCell ref="D3:L3"/>
    <mergeCell ref="G42:H42"/>
    <mergeCell ref="G43:H43"/>
    <mergeCell ref="A31:F31"/>
    <mergeCell ref="G31:H31"/>
    <mergeCell ref="G32:H32"/>
    <mergeCell ref="G33:H33"/>
    <mergeCell ref="G34:H34"/>
    <mergeCell ref="G35:H35"/>
    <mergeCell ref="G36:H36"/>
    <mergeCell ref="G37:H37"/>
    <mergeCell ref="G38:H38"/>
    <mergeCell ref="G39:H39"/>
    <mergeCell ref="G44:H44"/>
    <mergeCell ref="G45:H45"/>
    <mergeCell ref="G46:H46"/>
    <mergeCell ref="B25:C25"/>
    <mergeCell ref="N3:N4"/>
    <mergeCell ref="G12:I12"/>
    <mergeCell ref="E19:H19"/>
    <mergeCell ref="G8:I8"/>
    <mergeCell ref="B20:C20"/>
    <mergeCell ref="B21:C21"/>
    <mergeCell ref="B22:C22"/>
    <mergeCell ref="B23:C23"/>
    <mergeCell ref="B24:C24"/>
    <mergeCell ref="G40:H40"/>
    <mergeCell ref="B26:C26"/>
    <mergeCell ref="G41:H41"/>
  </mergeCells>
  <dataValidations count="3">
    <dataValidation type="date" allowBlank="1" showInputMessage="1" showErrorMessage="1" error="Veuillez saisir une date comprise entre le 01/01/2018 et le 01/04/2026" sqref="O3" xr:uid="{E07CCCA1-6472-4E2C-A3CB-CD903F48883E}">
      <formula1>43101</formula1>
      <formula2>46113</formula2>
    </dataValidation>
    <dataValidation type="list" allowBlank="1" showInputMessage="1" showErrorMessage="1" sqref="B3" xr:uid="{7BFE117A-6906-4142-98FF-498FF2BDB829}">
      <formula1>nomsindextp</formula1>
    </dataValidation>
    <dataValidation type="date" allowBlank="1" showInputMessage="1" showErrorMessage="1" error="Veuillez saisir une date comprise entre le 01/01/2018 et le 01/05/2026" sqref="O4" xr:uid="{077D1335-32F9-47F7-BEAA-D3FFC4B52E05}">
      <formula1>43132</formula1>
      <formula2>46143</formula2>
    </dataValidation>
  </dataValidation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87DFE-B815-432A-BEC2-49B91D17227D}">
  <sheetPr codeName="Feuil26">
    <tabColor rgb="FFFF0000"/>
    <pageSetUpPr fitToPage="1"/>
  </sheetPr>
  <dimension ref="A1:K262"/>
  <sheetViews>
    <sheetView showGridLines="0" topLeftCell="A232" workbookViewId="0">
      <selection activeCell="A249" sqref="A249:A253"/>
    </sheetView>
  </sheetViews>
  <sheetFormatPr baseColWidth="10" defaultRowHeight="15"/>
  <cols>
    <col min="2" max="2" width="69.42578125" bestFit="1" customWidth="1"/>
    <col min="3" max="4" width="10" style="150" bestFit="1" customWidth="1"/>
  </cols>
  <sheetData>
    <row r="1" spans="1:11">
      <c r="A1" s="279" t="str">
        <f>"CLASSEMENT DES INDICES SELON LEUR ÉVOLUTION A FIN "&amp;'A MODIFIER'!F4&amp;" EN CUMUL DEPUIS JANVIER PAR RAPPORT À "&amp;TEXT(EDATE(DATE4,-12),"aaaa")&amp;" ET "&amp;TEXT(EDATE(DATE4,-24),"aaaa")</f>
        <v>CLASSEMENT DES INDICES SELON LEUR ÉVOLUTION A FIN MAI 2026 EN CUMUL DEPUIS JANVIER PAR RAPPORT À 2025 ET 2024</v>
      </c>
      <c r="B1" s="279"/>
      <c r="C1" s="279"/>
      <c r="D1" s="279"/>
      <c r="E1" s="138"/>
      <c r="F1" s="138"/>
      <c r="G1" s="138"/>
      <c r="H1" s="138"/>
      <c r="I1" s="138"/>
      <c r="J1" s="138"/>
      <c r="K1" s="138"/>
    </row>
    <row r="3" spans="1:11">
      <c r="A3" s="140" t="str">
        <f>'A MODIFIER'!E5</f>
        <v>*/2025 = Cumul janv 2026-mai 2026 / Cumul janv 2025-mai 2025</v>
      </c>
    </row>
    <row r="4" spans="1:11">
      <c r="A4" s="140" t="str">
        <f>'A MODIFIER'!E6</f>
        <v>*/2024 = Cumul janv 2026-mai 2026 / Cumul janv 2024-mai 2024</v>
      </c>
    </row>
    <row r="7" spans="1:11">
      <c r="A7" s="139" t="s">
        <v>157</v>
      </c>
    </row>
    <row r="8" spans="1:11">
      <c r="A8" s="3" t="s">
        <v>245</v>
      </c>
    </row>
    <row r="10" spans="1:11">
      <c r="A10" s="278"/>
      <c r="B10" s="278"/>
      <c r="C10" s="151" t="str">
        <f>'A MODIFIER'!E12</f>
        <v>*/2025</v>
      </c>
      <c r="D10" s="151" t="str">
        <f>'A MODIFIER'!E11</f>
        <v>*/2024</v>
      </c>
    </row>
    <row r="11" spans="1:11">
      <c r="A11" s="8" t="str" cm="1">
        <f t="array" ref="A11:D49">'CALCULS DERNIERES EVOL INDICES'!J57:M95</f>
        <v>Gazole routier HTT</v>
      </c>
      <c r="B11" s="8" t="str">
        <v>Gazole routier HTT</v>
      </c>
      <c r="C11" s="151">
        <v>0.35607335928372263</v>
      </c>
      <c r="D11" s="151">
        <v>0.17981630043018293</v>
      </c>
    </row>
    <row r="12" spans="1:11">
      <c r="A12" s="8" t="str">
        <v>010777519</v>
      </c>
      <c r="B12" s="8" t="str">
        <v>GNR pour les Travaux Publics</v>
      </c>
      <c r="C12" s="151">
        <v>0.33730051393021365</v>
      </c>
      <c r="D12" s="151">
        <v>0.33965587318791468</v>
      </c>
    </row>
    <row r="13" spans="1:11">
      <c r="A13" s="8" t="str">
        <v>001764283</v>
      </c>
      <c r="B13" s="8" t="str">
        <v>Gazole</v>
      </c>
      <c r="C13" s="151">
        <v>0.19374962748097646</v>
      </c>
      <c r="D13" s="151">
        <v>0.10588603401310426</v>
      </c>
    </row>
    <row r="14" spans="1:11">
      <c r="A14" s="8" t="str">
        <v>010764224</v>
      </c>
      <c r="B14" s="8" t="str">
        <v>Matériel de distribution et de commande électrique</v>
      </c>
      <c r="C14" s="151">
        <v>0.17282700421940933</v>
      </c>
      <c r="D14" s="151">
        <v>0.16829186281102904</v>
      </c>
    </row>
    <row r="15" spans="1:11">
      <c r="A15" s="8" t="str">
        <v>010764223</v>
      </c>
      <c r="B15" s="8" t="str">
        <v>Moteurs, génératrices, transfo. électr., matér. distrib., cmde électr.</v>
      </c>
      <c r="C15" s="151">
        <v>0.10969170499063186</v>
      </c>
      <c r="D15" s="151">
        <v>0.11711248285322351</v>
      </c>
    </row>
    <row r="16" spans="1:11">
      <c r="A16" s="8" t="str">
        <v>010763930</v>
      </c>
      <c r="B16" s="8" t="str">
        <v>Fils et câbles d'énergie</v>
      </c>
      <c r="C16" s="151">
        <v>7.8446785096682792E-2</v>
      </c>
      <c r="D16" s="151">
        <v>0.14048212801330018</v>
      </c>
    </row>
    <row r="17" spans="1:4">
      <c r="A17" s="8" t="str">
        <v>010764143</v>
      </c>
      <c r="B17" s="8" t="str">
        <v>Matières plastiques sous formes primaires</v>
      </c>
      <c r="C17" s="151">
        <v>6.1597281223449318E-2</v>
      </c>
      <c r="D17" s="151">
        <v>4.3859649122806932E-2</v>
      </c>
    </row>
    <row r="18" spans="1:4">
      <c r="A18" s="8" t="str">
        <v>010763845</v>
      </c>
      <c r="B18" s="8" t="str">
        <v>Tubes, tuyaux en matière plastique</v>
      </c>
      <c r="C18" s="151">
        <v>4.6745562130177554E-2</v>
      </c>
      <c r="D18" s="151">
        <v>-3.7671877943101784E-4</v>
      </c>
    </row>
    <row r="19" spans="1:4">
      <c r="A19" s="8" t="str">
        <v>010765839</v>
      </c>
      <c r="B19" s="8" t="str">
        <v>Tôles quarto et autres produits plats en aciers non alliés de qualité</v>
      </c>
      <c r="C19" s="151">
        <v>4.5031815956926069E-2</v>
      </c>
      <c r="D19" s="151">
        <v>-4.2386185243327934E-2</v>
      </c>
    </row>
    <row r="20" spans="1:4">
      <c r="A20" s="8">
        <v>8682743</v>
      </c>
      <c r="B20" s="8" t="str">
        <v>Travail</v>
      </c>
      <c r="C20" s="151">
        <v>3.6595991867557354E-2</v>
      </c>
      <c r="D20" s="151">
        <v>7.3222071868891625E-2</v>
      </c>
    </row>
    <row r="21" spans="1:4">
      <c r="A21" s="8" t="str">
        <v>010764187</v>
      </c>
      <c r="B21" s="8" t="str">
        <v>Tubes, tuyaux, profilés creux et accessoires correspondants en acier</v>
      </c>
      <c r="C21" s="151">
        <v>3.149736147757265E-2</v>
      </c>
      <c r="D21" s="151">
        <v>1.6012810248198228E-3</v>
      </c>
    </row>
    <row r="22" spans="1:4">
      <c r="A22" s="8" t="str">
        <v>010763881</v>
      </c>
      <c r="B22" s="8" t="str">
        <v>Produits sidérurgiques en acier non allié</v>
      </c>
      <c r="C22" s="151">
        <v>3.1263292216078487E-2</v>
      </c>
      <c r="D22" s="151">
        <v>-7.1662571662570729E-3</v>
      </c>
    </row>
    <row r="23" spans="1:4">
      <c r="A23" s="8" t="str">
        <v>010764301</v>
      </c>
      <c r="B23" s="8" t="str">
        <v>Collecte, traitement et élimination des déchets ; récupération de matériaux</v>
      </c>
      <c r="C23" s="151">
        <v>3.0523255813953654E-2</v>
      </c>
      <c r="D23" s="151">
        <v>3.730797366495997E-2</v>
      </c>
    </row>
    <row r="24" spans="1:4">
      <c r="A24" s="8" t="str">
        <v>010764180</v>
      </c>
      <c r="B24" s="8" t="str">
        <v>Béton prêt à l'emploi</v>
      </c>
      <c r="C24" s="151">
        <v>3.0242859324881577E-2</v>
      </c>
      <c r="D24" s="151">
        <v>4.1377180793577217E-2</v>
      </c>
    </row>
    <row r="25" spans="1:4">
      <c r="A25" s="8" t="str">
        <v> 010764116</v>
      </c>
      <c r="B25" s="8" t="str">
        <v>Ensemble des produits du sciage</v>
      </c>
      <c r="C25" s="151">
        <v>2.7468581687612348E-2</v>
      </c>
      <c r="D25" s="151">
        <v>6.7524715538145985E-2</v>
      </c>
    </row>
    <row r="26" spans="1:4">
      <c r="A26" s="8" t="str">
        <v>010764101</v>
      </c>
      <c r="B26" s="8" t="str">
        <v>Autres textiles</v>
      </c>
      <c r="C26" s="151">
        <v>2.6507276507276467E-2</v>
      </c>
      <c r="D26" s="151">
        <v>4.8858204992034082E-2</v>
      </c>
    </row>
    <row r="27" spans="1:4">
      <c r="A27" s="8" t="str">
        <v>010764176</v>
      </c>
      <c r="B27" s="8" t="str">
        <v>Ciment, chaux et plâtre</v>
      </c>
      <c r="C27" s="151">
        <v>2.6470991633520624E-2</v>
      </c>
      <c r="D27" s="151">
        <v>3.7427224840587803E-2</v>
      </c>
    </row>
    <row r="28" spans="1:4">
      <c r="A28" s="8" t="str">
        <v>001711943</v>
      </c>
      <c r="B28" s="8" t="str">
        <v>Transports routiers</v>
      </c>
      <c r="C28" s="151">
        <v>2.2526146419951765E-2</v>
      </c>
      <c r="D28" s="151">
        <v>2.6987718164188879E-2</v>
      </c>
    </row>
    <row r="29" spans="1:4">
      <c r="A29" s="8" t="str">
        <v>001565195</v>
      </c>
      <c r="B29" s="8" t="str">
        <v>Travail activités spécialisées</v>
      </c>
      <c r="C29" s="151">
        <v>2.1311232795619084E-2</v>
      </c>
      <c r="D29" s="151">
        <v>4.7828727604008581E-2</v>
      </c>
    </row>
    <row r="30" spans="1:4">
      <c r="A30" s="8" t="str">
        <v>010765500</v>
      </c>
      <c r="B30" s="8" t="str">
        <v>Sables et granulats</v>
      </c>
      <c r="C30" s="151">
        <v>1.9557385486361101E-2</v>
      </c>
      <c r="D30" s="151">
        <v>1.2608621570965761E-2</v>
      </c>
    </row>
    <row r="31" spans="1:4">
      <c r="A31" s="8" t="str">
        <v>010766292</v>
      </c>
      <c r="B31" s="8" t="str">
        <v>Réseaux d’assainissement</v>
      </c>
      <c r="C31" s="151">
        <v>1.552795031055898E-2</v>
      </c>
      <c r="D31" s="151">
        <v>1.3639181649101051E-2</v>
      </c>
    </row>
    <row r="32" spans="1:4">
      <c r="A32" s="8" t="str">
        <v>001711009</v>
      </c>
      <c r="B32" s="8" t="str">
        <v>Matériel</v>
      </c>
      <c r="C32" s="151">
        <v>1.5490258703289683E-2</v>
      </c>
      <c r="D32" s="151">
        <v>2.1526104417670666E-2</v>
      </c>
    </row>
    <row r="33" spans="1:4">
      <c r="A33" s="8" t="str">
        <v>010764160</v>
      </c>
      <c r="B33" s="8" t="str">
        <v>Plaques, feuilles, tubes et profilés en matières plastiques</v>
      </c>
      <c r="C33" s="151">
        <v>1.3226527570789903E-2</v>
      </c>
      <c r="D33" s="151">
        <v>1.7776946107784575E-2</v>
      </c>
    </row>
    <row r="34" spans="1:4">
      <c r="A34" s="8" t="str">
        <v>010766236</v>
      </c>
      <c r="B34" s="8" t="str">
        <v>Barres crénelées ou nervurées pour béton armé</v>
      </c>
      <c r="C34" s="151">
        <v>1.0889292196007094E-2</v>
      </c>
      <c r="D34" s="151">
        <v>-1.0657193605683735E-2</v>
      </c>
    </row>
    <row r="35" spans="1:4">
      <c r="A35" s="8" t="str">
        <v>001711011</v>
      </c>
      <c r="B35" s="8" t="str">
        <v>Frais divers</v>
      </c>
      <c r="C35" s="151">
        <v>9.6153846153845812E-3</v>
      </c>
      <c r="D35" s="151">
        <v>1.6992353440951513E-2</v>
      </c>
    </row>
    <row r="36" spans="1:4">
      <c r="A36" s="8" t="str">
        <v>010764181</v>
      </c>
      <c r="B36" s="8" t="str">
        <v>Mortiers et bétons secs</v>
      </c>
      <c r="C36" s="151">
        <v>8.8803761100468837E-3</v>
      </c>
      <c r="D36" s="151">
        <v>3.4530386740350139E-4</v>
      </c>
    </row>
    <row r="37" spans="1:4">
      <c r="A37" s="8" t="str">
        <v>010764172</v>
      </c>
      <c r="B37" s="8" t="str">
        <v>Tuiles, briques et produits de construction en terre cuite</v>
      </c>
      <c r="C37" s="151">
        <v>8.314220183486265E-3</v>
      </c>
      <c r="D37" s="151">
        <v>1.6033511483460661E-2</v>
      </c>
    </row>
    <row r="38" spans="1:4">
      <c r="A38" s="8" t="str">
        <v>010764195</v>
      </c>
      <c r="B38" s="8" t="str">
        <v>Travaux de fonderie de fonte</v>
      </c>
      <c r="C38" s="151">
        <v>7.1284673795133369E-3</v>
      </c>
      <c r="D38" s="151">
        <v>1.4517639712769537E-2</v>
      </c>
    </row>
    <row r="39" spans="1:4">
      <c r="A39" s="8" t="str">
        <v>010764306</v>
      </c>
      <c r="B39" s="8" t="str">
        <v>Traitement et élimination des déchets non dangereux</v>
      </c>
      <c r="C39" s="151">
        <v>4.3948613928330715E-3</v>
      </c>
      <c r="D39" s="151">
        <v>2.7672085783466027E-2</v>
      </c>
    </row>
    <row r="40" spans="1:4">
      <c r="A40" s="8" t="str">
        <v>010764179</v>
      </c>
      <c r="B40" s="8" t="str">
        <v>Éléments en béton pour la construction</v>
      </c>
      <c r="C40" s="151">
        <v>-8.4331253162417408E-4</v>
      </c>
      <c r="D40" s="151">
        <v>-3.0600556373752363E-2</v>
      </c>
    </row>
    <row r="41" spans="1:4">
      <c r="A41" s="8" t="str">
        <v>010764228</v>
      </c>
      <c r="B41" s="8" t="str">
        <v>Appareils d'éclairage électrique</v>
      </c>
      <c r="C41" s="151">
        <v>-5.0439006164768596E-3</v>
      </c>
      <c r="D41" s="151">
        <v>-7.269338303821038E-3</v>
      </c>
    </row>
    <row r="42" spans="1:4">
      <c r="A42" s="8" t="str">
        <v>010765837</v>
      </c>
      <c r="B42" s="8" t="str">
        <v>Acier pour la construction</v>
      </c>
      <c r="C42" s="151">
        <v>-8.4911822338340492E-3</v>
      </c>
      <c r="D42" s="151">
        <v>-2.7546444586803331E-2</v>
      </c>
    </row>
    <row r="43" spans="1:4">
      <c r="A43" s="8" t="str">
        <v>010764149</v>
      </c>
      <c r="B43" s="8" t="str">
        <v>Autres produits chimiques</v>
      </c>
      <c r="C43" s="151">
        <v>-9.5602294455069403E-3</v>
      </c>
      <c r="D43" s="151">
        <v>4.8775998527517128E-2</v>
      </c>
    </row>
    <row r="44" spans="1:4">
      <c r="A44" s="8" t="str">
        <v>010763871</v>
      </c>
      <c r="B44" s="8" t="str">
        <v>Produits de voierie en béton</v>
      </c>
      <c r="C44" s="151">
        <v>-3.1928084314941318E-2</v>
      </c>
      <c r="D44" s="151">
        <v>-2.710280373831786E-2</v>
      </c>
    </row>
    <row r="45" spans="1:4">
      <c r="A45" s="8" t="str">
        <v>010764834</v>
      </c>
      <c r="B45" s="8" t="str">
        <v>Câbles de fibres optiques</v>
      </c>
      <c r="C45" s="151">
        <v>-3.4916201117318413E-2</v>
      </c>
      <c r="D45" s="151">
        <v>-0.16897173782321095</v>
      </c>
    </row>
    <row r="46" spans="1:4">
      <c r="A46" s="8" t="str">
        <v>010764136</v>
      </c>
      <c r="B46" s="8" t="str">
        <v>Bitume</v>
      </c>
      <c r="C46" s="151">
        <v>-3.4975132360019368E-2</v>
      </c>
      <c r="D46" s="151">
        <v>-4.1390728476821126E-3</v>
      </c>
    </row>
    <row r="47" spans="1:4">
      <c r="A47" s="8" t="str">
        <v>010763825</v>
      </c>
      <c r="B47" s="8" t="str">
        <v>Peintures Industries</v>
      </c>
      <c r="C47" s="151">
        <v>-4.7865268134140937E-2</v>
      </c>
      <c r="D47" s="151">
        <v>-6.5129097766173594E-2</v>
      </c>
    </row>
    <row r="48" spans="1:4">
      <c r="A48" s="8" t="str">
        <v>010764297</v>
      </c>
      <c r="B48" s="8" t="str">
        <v>Gaz naturel</v>
      </c>
      <c r="C48" s="151">
        <v>-8.182865923933913E-2</v>
      </c>
      <c r="D48" s="151">
        <v>0.35257498585172642</v>
      </c>
    </row>
    <row r="49" spans="1:4">
      <c r="A49" s="8" t="str">
        <v>010764291</v>
      </c>
      <c r="B49" s="8" t="str">
        <v>Électricité vendue aux entreprises consommatrices finales</v>
      </c>
      <c r="C49" s="151">
        <v>-9.5969033635878054E-2</v>
      </c>
      <c r="D49" s="151">
        <v>-0.22972819288070045</v>
      </c>
    </row>
    <row r="56" spans="1:4">
      <c r="A56" s="279" t="str">
        <f>"CLASSEMENT DES INDICES SELON LEUR ÉVOLUTION A FIN "&amp;'A MODIFIER'!F4&amp;" EN CUMUL DEPUIS "&amp;UPPER(TEXT(DATE4,"mmmmmmmm"))&amp;" PAR RAPPORT À "&amp;TEXT(EDATE(DATE4,-12),"aaaa")&amp;" ET "&amp;TEXT(EDATE(DATE4,-24),"aaaa")</f>
        <v>CLASSEMENT DES INDICES SELON LEUR ÉVOLUTION A FIN MAI 2026 EN CUMUL DEPUIS MAI PAR RAPPORT À 2025 ET 2024</v>
      </c>
      <c r="B56" s="279"/>
      <c r="C56" s="279"/>
      <c r="D56" s="279"/>
    </row>
    <row r="58" spans="1:4">
      <c r="A58" s="45" t="str">
        <f>'A MODIFIER'!E9</f>
        <v>*12 mois =  Cumul juin 2025-mai 2026 / Cumul juin 2024-mai 2025</v>
      </c>
    </row>
    <row r="59" spans="1:4">
      <c r="A59" s="45" t="str">
        <f>'A MODIFIER'!E10</f>
        <v>*24 mois =  Cumul juin 2025-mai 2026 / Cumul juin 2023-mai 2024</v>
      </c>
    </row>
    <row r="61" spans="1:4">
      <c r="A61" s="278"/>
      <c r="B61" s="278"/>
      <c r="C61" s="152" t="str">
        <f>'A MODIFIER'!E13</f>
        <v xml:space="preserve">*12 mois </v>
      </c>
      <c r="D61" s="151" t="str">
        <f>'A MODIFIER'!E14</f>
        <v>*24 mois</v>
      </c>
    </row>
    <row r="62" spans="1:4">
      <c r="A62" s="8" t="str" cm="1">
        <f t="array" ref="A62:D100">'CALCULS DERNIERES EVOL INDICES'!J8:M46</f>
        <v>010777519</v>
      </c>
      <c r="B62" s="8" t="str">
        <v>GNR pour les Travaux Publics</v>
      </c>
      <c r="C62" s="151">
        <v>0.18659065265158259</v>
      </c>
      <c r="D62" s="151">
        <v>0.17280037565299056</v>
      </c>
    </row>
    <row r="63" spans="1:4">
      <c r="A63" s="8" t="str">
        <v>Gazole routier HTT</v>
      </c>
      <c r="B63" s="8" t="str">
        <v>Gazole routier HTT</v>
      </c>
      <c r="C63" s="151">
        <v>0.12477621970155117</v>
      </c>
      <c r="D63" s="151">
        <v>-2.6015765188935114E-2</v>
      </c>
    </row>
    <row r="64" spans="1:4">
      <c r="A64" s="8" t="str">
        <v>010764224</v>
      </c>
      <c r="B64" s="8" t="str">
        <v>Matériel de distribution et de commande électrique</v>
      </c>
      <c r="C64" s="151">
        <v>9.089648478125234E-2</v>
      </c>
      <c r="D64" s="151">
        <v>0.11636157230026956</v>
      </c>
    </row>
    <row r="65" spans="1:4">
      <c r="A65" s="8" t="str">
        <v>011816634</v>
      </c>
      <c r="B65" s="8" t="str">
        <v>Gazole</v>
      </c>
      <c r="C65" s="151">
        <v>6.8357911551350847E-2</v>
      </c>
      <c r="D65" s="151">
        <v>-1.7380306862759931E-2</v>
      </c>
    </row>
    <row r="66" spans="1:4">
      <c r="A66" s="8" t="str">
        <v>010764223</v>
      </c>
      <c r="B66" s="8" t="str">
        <v>Moteurs, génératrices, transfo. électr., matér. distrib., cmde électr.</v>
      </c>
      <c r="C66" s="151">
        <v>6.3915628539071401E-2</v>
      </c>
      <c r="D66" s="151">
        <v>8.0088446144279901E-2</v>
      </c>
    </row>
    <row r="67" spans="1:4">
      <c r="A67" s="8">
        <v>8899388</v>
      </c>
      <c r="B67" s="8" t="str">
        <v>Travail</v>
      </c>
      <c r="C67" s="151">
        <v>3.4381679389312803E-2</v>
      </c>
      <c r="D67" s="151">
        <v>6.6893424036281068E-2</v>
      </c>
    </row>
    <row r="68" spans="1:4">
      <c r="A68" s="8" t="str">
        <v>010763930</v>
      </c>
      <c r="B68" s="8" t="str">
        <v>Fils et câbles d'énergie</v>
      </c>
      <c r="C68" s="151">
        <v>3.4277395447326997E-2</v>
      </c>
      <c r="D68" s="151">
        <v>0.10177300225070129</v>
      </c>
    </row>
    <row r="69" spans="1:4">
      <c r="A69" s="8" t="str">
        <v> 010764116</v>
      </c>
      <c r="B69" s="8" t="str">
        <v>Ensemble des produits du sciage</v>
      </c>
      <c r="C69" s="151">
        <v>3.3678952546734031E-2</v>
      </c>
      <c r="D69" s="151">
        <v>4.3073163280891835E-2</v>
      </c>
    </row>
    <row r="70" spans="1:4">
      <c r="A70" s="8" t="str">
        <v>010764180</v>
      </c>
      <c r="B70" s="8" t="str">
        <v>Béton prêt à l'emploi</v>
      </c>
      <c r="C70" s="151">
        <v>2.697830146159319E-2</v>
      </c>
      <c r="D70" s="151">
        <v>3.213830650022298E-2</v>
      </c>
    </row>
    <row r="71" spans="1:4">
      <c r="A71" s="8" t="str">
        <v>010764101</v>
      </c>
      <c r="B71" s="8" t="str">
        <v>Autres textiles</v>
      </c>
      <c r="C71" s="151">
        <v>2.4645583424209416E-2</v>
      </c>
      <c r="D71" s="151">
        <v>3.9085477464771534E-2</v>
      </c>
    </row>
    <row r="72" spans="1:4">
      <c r="A72" s="8" t="str">
        <v>001565195</v>
      </c>
      <c r="B72" s="8" t="str">
        <v>Travail activités spécialisées</v>
      </c>
      <c r="C72" s="151">
        <v>2.2233262948702093E-2</v>
      </c>
      <c r="D72" s="151">
        <v>4.8942136120316171E-2</v>
      </c>
    </row>
    <row r="73" spans="1:4">
      <c r="A73" s="8" t="str">
        <v>010764176</v>
      </c>
      <c r="B73" s="8" t="str">
        <v>Ciment, chaux et plâtre</v>
      </c>
      <c r="C73" s="151">
        <v>1.839067123049265E-2</v>
      </c>
      <c r="D73" s="151">
        <v>2.9390545221777309E-2</v>
      </c>
    </row>
    <row r="74" spans="1:4">
      <c r="A74" s="8" t="str">
        <v>010764306</v>
      </c>
      <c r="B74" s="8" t="str">
        <v>Traitement et élimination des déchets non dangereux</v>
      </c>
      <c r="C74" s="151">
        <v>1.659394893069166E-2</v>
      </c>
      <c r="D74" s="151">
        <v>4.6986393385722192E-2</v>
      </c>
    </row>
    <row r="75" spans="1:4">
      <c r="A75" s="8" t="str">
        <v>001711943</v>
      </c>
      <c r="B75" s="8" t="str">
        <v>Transports routiers</v>
      </c>
      <c r="C75" s="151">
        <v>1.5639683178950259E-2</v>
      </c>
      <c r="D75" s="151">
        <v>3.7720320965640042E-2</v>
      </c>
    </row>
    <row r="76" spans="1:4">
      <c r="A76" s="8" t="str">
        <v>010765500</v>
      </c>
      <c r="B76" s="8" t="str">
        <v>Sables et granulats</v>
      </c>
      <c r="C76" s="151">
        <v>1.5457960127130743E-2</v>
      </c>
      <c r="D76" s="151">
        <v>9.9288416713951833E-3</v>
      </c>
    </row>
    <row r="77" spans="1:4">
      <c r="A77" s="8" t="str">
        <v>001711009</v>
      </c>
      <c r="B77" s="8" t="str">
        <v>Matériel</v>
      </c>
      <c r="C77" s="151">
        <v>1.2919552477357321E-2</v>
      </c>
      <c r="D77" s="151">
        <v>2.4587403166049127E-2</v>
      </c>
    </row>
    <row r="78" spans="1:4">
      <c r="A78" s="8" t="str">
        <v>010764195</v>
      </c>
      <c r="B78" s="8" t="str">
        <v>Travaux de fonderie de fonte</v>
      </c>
      <c r="C78" s="151">
        <v>8.7850588924320849E-3</v>
      </c>
      <c r="D78" s="151">
        <v>-4.7187518970062126E-3</v>
      </c>
    </row>
    <row r="79" spans="1:4">
      <c r="A79" s="8" t="str">
        <v>010766292</v>
      </c>
      <c r="B79" s="8" t="str">
        <v>Réseaux d’assainissement</v>
      </c>
      <c r="C79" s="151">
        <v>7.3371858970199266E-3</v>
      </c>
      <c r="D79" s="151">
        <v>1.3971047641297529E-2</v>
      </c>
    </row>
    <row r="80" spans="1:4">
      <c r="A80" s="8" t="str">
        <v>010764172</v>
      </c>
      <c r="B80" s="8" t="str">
        <v>Tuiles, briques et produits de construction en terre cuite</v>
      </c>
      <c r="C80" s="151">
        <v>7.3159030942673287E-3</v>
      </c>
      <c r="D80" s="151">
        <v>1.0082133868522414E-2</v>
      </c>
    </row>
    <row r="81" spans="1:4">
      <c r="A81" s="8" t="str">
        <v>001711011</v>
      </c>
      <c r="B81" s="8" t="str">
        <v>Frais divers</v>
      </c>
      <c r="C81" s="151">
        <v>6.9449316029466246E-3</v>
      </c>
      <c r="D81" s="151">
        <v>1.4488656442151804E-2</v>
      </c>
    </row>
    <row r="82" spans="1:4">
      <c r="A82" s="8" t="str">
        <v>010763845</v>
      </c>
      <c r="B82" s="8" t="str">
        <v>Tubes, tuyaux en matière plastique</v>
      </c>
      <c r="C82" s="151">
        <v>6.8181818181818343E-3</v>
      </c>
      <c r="D82" s="151">
        <v>-5.9756499967049237E-2</v>
      </c>
    </row>
    <row r="83" spans="1:4">
      <c r="A83" s="8" t="str">
        <v>010764149</v>
      </c>
      <c r="B83" s="8" t="str">
        <v>Autres produits chimiques</v>
      </c>
      <c r="C83" s="151">
        <v>6.040015100037488E-3</v>
      </c>
      <c r="D83" s="151">
        <v>-2.6590033012672487E-2</v>
      </c>
    </row>
    <row r="84" spans="1:4">
      <c r="A84" s="8" t="str">
        <v>010766236</v>
      </c>
      <c r="B84" s="8" t="str">
        <v>Barres crénelées ou nervurées pour béton armé</v>
      </c>
      <c r="C84" s="151">
        <v>3.8947468414554098E-3</v>
      </c>
      <c r="D84" s="151">
        <v>-1.3787653748020601E-2</v>
      </c>
    </row>
    <row r="85" spans="1:4">
      <c r="A85" s="8" t="str">
        <v>010764187</v>
      </c>
      <c r="B85" s="8" t="str">
        <v>Tubes, tuyaux, profilés creux et accessoires correspondants en acier</v>
      </c>
      <c r="C85" s="151">
        <v>2.5111985882992904E-3</v>
      </c>
      <c r="D85" s="151">
        <v>-3.7498293383801728E-2</v>
      </c>
    </row>
    <row r="86" spans="1:4">
      <c r="A86" s="8" t="str">
        <v>010764228</v>
      </c>
      <c r="B86" s="8" t="str">
        <v>Appareils d'éclairage électrique</v>
      </c>
      <c r="C86" s="151">
        <v>-1.0934937124111865E-3</v>
      </c>
      <c r="D86" s="151">
        <v>-1.6200414241529293E-2</v>
      </c>
    </row>
    <row r="87" spans="1:4">
      <c r="A87" s="8" t="str">
        <v>010764181</v>
      </c>
      <c r="B87" s="8" t="str">
        <v>Mortiers et bétons secs</v>
      </c>
      <c r="C87" s="151">
        <v>-1.5218494093773849E-3</v>
      </c>
      <c r="D87" s="151">
        <v>1.004089080144599E-3</v>
      </c>
    </row>
    <row r="88" spans="1:4">
      <c r="A88" s="8" t="str">
        <v>010764301</v>
      </c>
      <c r="B88" s="8" t="str">
        <v>Collecte, traitement et élimination des déchets ; récupération de matériaux</v>
      </c>
      <c r="C88" s="151">
        <v>-2.0386590154032325E-3</v>
      </c>
      <c r="D88" s="151">
        <v>3.2160815064002035E-2</v>
      </c>
    </row>
    <row r="89" spans="1:4">
      <c r="A89" s="8" t="str">
        <v>010763871</v>
      </c>
      <c r="B89" s="8" t="str">
        <v>Produits de voierie en béton</v>
      </c>
      <c r="C89" s="151">
        <v>-2.7221466070386224E-3</v>
      </c>
      <c r="D89" s="151">
        <v>-8.7885325808614301E-3</v>
      </c>
    </row>
    <row r="90" spans="1:4">
      <c r="A90" s="8" t="str">
        <v>010763881</v>
      </c>
      <c r="B90" s="8" t="str">
        <v>Produits sidérurgiques en acier non allié</v>
      </c>
      <c r="C90" s="151">
        <v>-4.4006336912517652E-3</v>
      </c>
      <c r="D90" s="151">
        <v>-5.4457864232660635E-2</v>
      </c>
    </row>
    <row r="91" spans="1:4">
      <c r="A91" s="8" t="str">
        <v>010764160</v>
      </c>
      <c r="B91" s="8" t="str">
        <v>Plaques, feuilles, tubes et profilés en matières plastiques</v>
      </c>
      <c r="C91" s="151">
        <v>-4.7144292449186054E-3</v>
      </c>
      <c r="D91" s="151">
        <v>-1.6285469843171585E-2</v>
      </c>
    </row>
    <row r="92" spans="1:4">
      <c r="A92" s="8" t="str">
        <v>010765837</v>
      </c>
      <c r="B92" s="8" t="str">
        <v>Acier pour la construction</v>
      </c>
      <c r="C92" s="151">
        <v>-5.2765647743813204E-3</v>
      </c>
      <c r="D92" s="151">
        <v>-3.4384304975023761E-2</v>
      </c>
    </row>
    <row r="93" spans="1:4">
      <c r="A93" s="8" t="str">
        <v>010764179</v>
      </c>
      <c r="B93" s="8" t="str">
        <v>Éléments en béton pour la construction</v>
      </c>
      <c r="C93" s="151">
        <v>-5.9403172828289552E-3</v>
      </c>
      <c r="D93" s="151">
        <v>-4.0194890065024858E-2</v>
      </c>
    </row>
    <row r="94" spans="1:4">
      <c r="A94" s="8" t="str">
        <v>010764143</v>
      </c>
      <c r="B94" s="8" t="str">
        <v>Matières plastiques sous formes primaires</v>
      </c>
      <c r="C94" s="151">
        <v>-8.1545825208296785E-3</v>
      </c>
      <c r="D94" s="151">
        <v>-1.4925763036702899E-2</v>
      </c>
    </row>
    <row r="95" spans="1:4">
      <c r="A95" s="8" t="str">
        <v>010765839</v>
      </c>
      <c r="B95" s="8" t="str">
        <v>Tôles quarto et autres produits plats en aciers non alliés de qualité</v>
      </c>
      <c r="C95" s="151">
        <v>-1.3257575757576023E-2</v>
      </c>
      <c r="D95" s="151">
        <v>-8.9796243894470051E-2</v>
      </c>
    </row>
    <row r="96" spans="1:4">
      <c r="A96" s="8" t="str">
        <v>010763825</v>
      </c>
      <c r="B96" s="8" t="str">
        <v>Peintures Industries</v>
      </c>
      <c r="C96" s="151">
        <v>-2.4202960869832091E-2</v>
      </c>
      <c r="D96" s="151">
        <v>-4.6629423405330828E-2</v>
      </c>
    </row>
    <row r="97" spans="1:4">
      <c r="A97" s="8" t="str">
        <v>010764834</v>
      </c>
      <c r="B97" s="8" t="str">
        <v>Câbles de fibres optiques</v>
      </c>
      <c r="C97" s="151">
        <v>-8.4830063553468005E-2</v>
      </c>
      <c r="D97" s="151">
        <v>-0.18223452704143772</v>
      </c>
    </row>
    <row r="98" spans="1:4">
      <c r="A98" s="8" t="str">
        <v>010764136</v>
      </c>
      <c r="B98" s="8" t="str">
        <v>Bitume</v>
      </c>
      <c r="C98" s="151">
        <v>-8.5351250665247402E-2</v>
      </c>
      <c r="D98" s="151">
        <v>-8.2505025766420048E-2</v>
      </c>
    </row>
    <row r="99" spans="1:4">
      <c r="A99" s="8" t="str">
        <v>010764297</v>
      </c>
      <c r="B99" s="8" t="str">
        <v>Gaz naturel</v>
      </c>
      <c r="C99" s="151">
        <v>-0.10571207030240359</v>
      </c>
      <c r="D99" s="151">
        <v>7.1069226828762044E-2</v>
      </c>
    </row>
    <row r="100" spans="1:4">
      <c r="A100" s="8" t="str">
        <v>010764291</v>
      </c>
      <c r="B100" s="8" t="str">
        <v>Électricité vendue aux entreprises consommatrices finales</v>
      </c>
      <c r="C100" s="151">
        <v>-0.1348639556158886</v>
      </c>
      <c r="D100" s="151">
        <v>-0.31101179718770255</v>
      </c>
    </row>
    <row r="106" spans="1:4">
      <c r="A106" s="279" t="s">
        <v>159</v>
      </c>
      <c r="B106" s="280"/>
      <c r="C106" s="280"/>
      <c r="D106" s="280"/>
    </row>
    <row r="108" spans="1:4">
      <c r="A108" s="45" t="str">
        <f>'A MODIFIER'!E7</f>
        <v>*3 mois = Cumul mars 2026-mai 2026 / Cumul déc 2025-févr 2026</v>
      </c>
    </row>
    <row r="109" spans="1:4">
      <c r="A109" s="45" t="str">
        <f>'A MODIFIER'!E8</f>
        <v>*6 mois = Cumul déc 2025-mai 2026 / Cumul juin 2025-nov 2025</v>
      </c>
    </row>
    <row r="111" spans="1:4">
      <c r="A111" s="278"/>
      <c r="B111" s="278"/>
      <c r="C111" s="153" t="str">
        <f>'A MODIFIER'!A11</f>
        <v>*3 mois</v>
      </c>
      <c r="D111" s="153" t="str">
        <f>'A MODIFIER'!A12</f>
        <v>*6 mois</v>
      </c>
    </row>
    <row r="112" spans="1:4">
      <c r="A112" s="166" t="str" cm="1">
        <f t="array" ref="A112:D150">'CALCULS DERNIERES EVOL INDICES'!J109:M147</f>
        <v>Gazole routier HTT</v>
      </c>
      <c r="B112" s="166" t="str">
        <v>Gazole routier HTT</v>
      </c>
      <c r="C112" s="151">
        <v>0.57121933130039126</v>
      </c>
      <c r="D112" s="151">
        <v>0.30464311328091953</v>
      </c>
    </row>
    <row r="113" spans="1:4">
      <c r="A113" s="166" t="str">
        <v>010777519</v>
      </c>
      <c r="B113" s="166" t="str">
        <v>GNR pour les Travaux Publics</v>
      </c>
      <c r="C113" s="151">
        <v>0.45688714254529583</v>
      </c>
      <c r="D113" s="151">
        <v>0.28982351592940625</v>
      </c>
    </row>
    <row r="114" spans="1:4">
      <c r="A114" s="166" t="str">
        <v>010764297</v>
      </c>
      <c r="B114" s="166" t="str">
        <v>Gaz naturel</v>
      </c>
      <c r="C114" s="151">
        <v>0.43821712268314217</v>
      </c>
      <c r="D114" s="151">
        <v>0.13800205973223489</v>
      </c>
    </row>
    <row r="115" spans="1:4">
      <c r="A115" s="166" t="str">
        <v>010764136</v>
      </c>
      <c r="B115" s="166" t="str">
        <v>Bitume</v>
      </c>
      <c r="C115" s="151">
        <v>0.3837288135593222</v>
      </c>
      <c r="D115" s="151">
        <v>4.689593568557382E-2</v>
      </c>
    </row>
    <row r="116" spans="1:4">
      <c r="A116" s="166" t="str">
        <v>010764143</v>
      </c>
      <c r="B116" s="166" t="str">
        <v>Matières plastiques sous formes primaires</v>
      </c>
      <c r="C116" s="151">
        <v>0.31210443037974689</v>
      </c>
      <c r="D116" s="151">
        <v>9.3545369504209441E-2</v>
      </c>
    </row>
    <row r="117" spans="1:4">
      <c r="A117" s="166" t="str">
        <v>001764283</v>
      </c>
      <c r="B117" s="166" t="str">
        <v>Gazole</v>
      </c>
      <c r="C117" s="151">
        <v>0.30985729386892169</v>
      </c>
      <c r="D117" s="151">
        <v>0.16876995336553735</v>
      </c>
    </row>
    <row r="118" spans="1:4">
      <c r="A118" s="166" t="str">
        <v>010763845</v>
      </c>
      <c r="B118" s="166" t="str">
        <v>Tubes, tuyaux en matière plastique</v>
      </c>
      <c r="C118" s="151">
        <v>9.468438538205981E-2</v>
      </c>
      <c r="D118" s="151">
        <v>3.3776028857189777E-2</v>
      </c>
    </row>
    <row r="119" spans="1:4">
      <c r="A119" s="166" t="str">
        <v>010764160</v>
      </c>
      <c r="B119" s="166" t="str">
        <v>Plaques, feuilles, tubes et profilés en matières plastiques</v>
      </c>
      <c r="C119" s="151">
        <v>7.6504481434058746E-2</v>
      </c>
      <c r="D119" s="151">
        <v>1.5021123454858287E-2</v>
      </c>
    </row>
    <row r="120" spans="1:4">
      <c r="A120" s="166" t="str">
        <v>010766236</v>
      </c>
      <c r="B120" s="166" t="str">
        <v>Barres crénelées ou nervurées pour béton armé</v>
      </c>
      <c r="C120" s="151">
        <v>6.7730634488127661E-2</v>
      </c>
      <c r="D120" s="151">
        <v>1.0654490106544845E-2</v>
      </c>
    </row>
    <row r="121" spans="1:4">
      <c r="A121" s="166" t="str">
        <v>010763881</v>
      </c>
      <c r="B121" s="166" t="str">
        <v>Produits sidérurgiques en acier non allié</v>
      </c>
      <c r="C121" s="151">
        <v>6.48745519713263E-2</v>
      </c>
      <c r="D121" s="151">
        <v>3.7831021437578549E-2</v>
      </c>
    </row>
    <row r="122" spans="1:4">
      <c r="A122" s="166" t="str">
        <v>010765839</v>
      </c>
      <c r="B122" s="166" t="str">
        <v>Tôles quarto et autres produits plats en aciers non alliés de qualité</v>
      </c>
      <c r="C122" s="151">
        <v>5.9586542359140626E-2</v>
      </c>
      <c r="D122" s="151">
        <v>5.4586965545869726E-2</v>
      </c>
    </row>
    <row r="123" spans="1:4">
      <c r="A123" s="166" t="str">
        <v>010764224</v>
      </c>
      <c r="B123" s="166" t="str">
        <v>Matériel de distribution et de commande électrique</v>
      </c>
      <c r="C123" s="151">
        <v>5.9339008512769187E-2</v>
      </c>
      <c r="D123" s="151">
        <v>9.5352243973898076E-2</v>
      </c>
    </row>
    <row r="124" spans="1:4">
      <c r="A124" s="166" t="str">
        <v>010764301</v>
      </c>
      <c r="B124" s="166" t="str">
        <v>Collecte, traitement et élimination des déchets ; récupération de matériaux</v>
      </c>
      <c r="C124" s="151">
        <v>4.5757575757575886E-2</v>
      </c>
      <c r="D124" s="151">
        <v>4.4076708939065901E-2</v>
      </c>
    </row>
    <row r="125" spans="1:4">
      <c r="A125" s="166" t="str">
        <v>010763930</v>
      </c>
      <c r="B125" s="166" t="str">
        <v>Fils et câbles d'énergie</v>
      </c>
      <c r="C125" s="151">
        <v>3.7882589061716043E-2</v>
      </c>
      <c r="D125" s="151">
        <v>8.2056747036099775E-2</v>
      </c>
    </row>
    <row r="126" spans="1:4">
      <c r="A126" s="166" t="str">
        <v>010764149</v>
      </c>
      <c r="B126" s="166" t="str">
        <v>Autres produits chimiques</v>
      </c>
      <c r="C126" s="151">
        <v>3.4441449535789204E-2</v>
      </c>
      <c r="D126" s="151">
        <v>3.9957134109001924E-2</v>
      </c>
    </row>
    <row r="127" spans="1:4">
      <c r="A127" s="166" t="str">
        <v>010764223</v>
      </c>
      <c r="B127" s="166" t="str">
        <v>Moteurs, génératrices, transfo. électr., matér. distrib., cmde électr.</v>
      </c>
      <c r="C127" s="151">
        <v>3.3307107264620939E-2</v>
      </c>
      <c r="D127" s="151">
        <v>6.5265182742511696E-2</v>
      </c>
    </row>
    <row r="128" spans="1:4">
      <c r="A128" s="166" t="str">
        <v>010764195</v>
      </c>
      <c r="B128" s="166" t="str">
        <v>Travaux de fonderie de fonte</v>
      </c>
      <c r="C128" s="151">
        <v>2.5006512112529355E-2</v>
      </c>
      <c r="D128" s="151">
        <v>5.9523809523811533E-3</v>
      </c>
    </row>
    <row r="129" spans="1:4">
      <c r="A129" s="166" t="str">
        <v>010764181</v>
      </c>
      <c r="B129" s="166" t="str">
        <v>Mortiers et bétons secs</v>
      </c>
      <c r="C129" s="151">
        <v>2.4890190336749551E-2</v>
      </c>
      <c r="D129" s="151">
        <v>7.5768614308611149E-3</v>
      </c>
    </row>
    <row r="130" spans="1:4">
      <c r="A130" s="166" t="str">
        <v>010764180</v>
      </c>
      <c r="B130" s="166" t="str">
        <v>Béton prêt à l'emploi</v>
      </c>
      <c r="C130" s="151">
        <v>2.4371859296482334E-2</v>
      </c>
      <c r="D130" s="151">
        <v>2.077790447231731E-2</v>
      </c>
    </row>
    <row r="131" spans="1:4">
      <c r="A131" s="166" t="str">
        <v>010765500</v>
      </c>
      <c r="B131" s="166" t="str">
        <v>Sables et granulats</v>
      </c>
      <c r="C131" s="151">
        <v>2.3050654524758185E-2</v>
      </c>
      <c r="D131" s="151">
        <v>2.302489566844157E-2</v>
      </c>
    </row>
    <row r="132" spans="1:4">
      <c r="A132" s="166" t="str">
        <v>010764228</v>
      </c>
      <c r="B132" s="166" t="str">
        <v>Appareils d'éclairage électrique</v>
      </c>
      <c r="C132" s="151">
        <v>2.0012706480305065E-2</v>
      </c>
      <c r="D132" s="151">
        <v>-1.1041990668740342E-2</v>
      </c>
    </row>
    <row r="133" spans="1:4">
      <c r="A133" s="166" t="str">
        <v>001711943</v>
      </c>
      <c r="B133" s="166" t="str">
        <v>Transports routiers</v>
      </c>
      <c r="C133" s="151">
        <v>1.9373673036093386E-2</v>
      </c>
      <c r="D133" s="151">
        <v>1.1566072852964737E-2</v>
      </c>
    </row>
    <row r="134" spans="1:4">
      <c r="A134" s="166" t="str">
        <v>010764176</v>
      </c>
      <c r="B134" s="166" t="str">
        <v>Ciment, chaux et plâtre</v>
      </c>
      <c r="C134" s="151">
        <v>1.4905149051490652E-2</v>
      </c>
      <c r="D134" s="151">
        <v>3.3595922150138957E-2</v>
      </c>
    </row>
    <row r="135" spans="1:4">
      <c r="A135" s="166" t="str">
        <v>010764187</v>
      </c>
      <c r="B135" s="166" t="str">
        <v>Tubes, tuyaux, profilés creux et accessoires correspondants en acier</v>
      </c>
      <c r="C135" s="151">
        <v>1.4539579967689953E-2</v>
      </c>
      <c r="D135" s="151">
        <v>2.6478254904650722E-2</v>
      </c>
    </row>
    <row r="136" spans="1:4">
      <c r="A136" s="166" t="str">
        <v>010764834</v>
      </c>
      <c r="B136" s="166" t="str">
        <v>Câbles de fibres optiques</v>
      </c>
      <c r="C136" s="151">
        <v>1.3765182186235014E-2</v>
      </c>
      <c r="D136" s="151">
        <v>2.4183796856105388E-3</v>
      </c>
    </row>
    <row r="137" spans="1:4">
      <c r="A137" s="166" t="str">
        <v>001711011</v>
      </c>
      <c r="B137" s="166" t="str">
        <v>Frais divers</v>
      </c>
      <c r="C137" s="151">
        <v>1.2328383300644452E-2</v>
      </c>
      <c r="D137" s="151">
        <v>1.3943112102621225E-3</v>
      </c>
    </row>
    <row r="138" spans="1:4">
      <c r="A138" s="166" t="str">
        <v>010766292</v>
      </c>
      <c r="B138" s="166" t="str">
        <v>Réseaux d’assainissement</v>
      </c>
      <c r="C138" s="151">
        <v>1.1071060762101181E-2</v>
      </c>
      <c r="D138" s="151">
        <v>1.4020511489029941E-2</v>
      </c>
    </row>
    <row r="139" spans="1:4">
      <c r="A139" s="166" t="str">
        <v>010765837</v>
      </c>
      <c r="B139" s="166" t="str">
        <v>Acier pour la construction</v>
      </c>
      <c r="C139" s="151">
        <v>1.0328292143120477E-2</v>
      </c>
      <c r="D139" s="151">
        <v>-6.1998541210794844E-3</v>
      </c>
    </row>
    <row r="140" spans="1:4">
      <c r="A140" s="166" t="str">
        <v>001711009</v>
      </c>
      <c r="B140" s="166" t="str">
        <v>Matériel</v>
      </c>
      <c r="C140" s="151">
        <v>8.9709762532981241E-3</v>
      </c>
      <c r="D140" s="151">
        <v>2.3696682464453556E-3</v>
      </c>
    </row>
    <row r="141" spans="1:4">
      <c r="A141" s="166" t="str">
        <v>010764101</v>
      </c>
      <c r="B141" s="166" t="str">
        <v>Autres textiles</v>
      </c>
      <c r="C141" s="151">
        <v>8.7768969422423737E-3</v>
      </c>
      <c r="D141" s="151">
        <v>1.3716245177882502E-2</v>
      </c>
    </row>
    <row r="142" spans="1:4">
      <c r="A142" s="166" t="str">
        <v>010764172</v>
      </c>
      <c r="B142" s="166" t="str">
        <v>Tuiles, briques et produits de construction en terre cuite</v>
      </c>
      <c r="C142" s="151">
        <v>6.4377682403433667E-3</v>
      </c>
      <c r="D142" s="151">
        <v>3.8172491947989773E-3</v>
      </c>
    </row>
    <row r="143" spans="1:4">
      <c r="A143" s="166">
        <v>8682743</v>
      </c>
      <c r="B143" s="166" t="str">
        <v>Travail</v>
      </c>
      <c r="C143" s="151">
        <v>5.6258790436005679E-3</v>
      </c>
      <c r="D143" s="151">
        <v>2.0758768790264837E-2</v>
      </c>
    </row>
    <row r="144" spans="1:4">
      <c r="A144" s="166" t="str">
        <v>001565195</v>
      </c>
      <c r="B144" s="166" t="str">
        <v>Travail activités spécialisées</v>
      </c>
      <c r="C144" s="151">
        <v>4.1172196657786042E-3</v>
      </c>
      <c r="D144" s="151">
        <v>1.0995723885155684E-2</v>
      </c>
    </row>
    <row r="145" spans="1:4">
      <c r="A145" s="166" t="str">
        <v>010764306</v>
      </c>
      <c r="B145" s="166" t="str">
        <v>Traitement et élimination des déchets non dangereux</v>
      </c>
      <c r="C145" s="151">
        <v>3.9414414414415955E-3</v>
      </c>
      <c r="D145" s="151">
        <v>3.2417195207894434E-3</v>
      </c>
    </row>
    <row r="146" spans="1:4">
      <c r="A146" s="166" t="str">
        <v> 010764116</v>
      </c>
      <c r="B146" s="166" t="str">
        <v>Ensemble des produits du sciage</v>
      </c>
      <c r="C146" s="151">
        <v>3.2116788321168155E-3</v>
      </c>
      <c r="D146" s="151">
        <v>9.415918787700539E-3</v>
      </c>
    </row>
    <row r="147" spans="1:4">
      <c r="A147" s="166" t="str">
        <v>010764179</v>
      </c>
      <c r="B147" s="166" t="str">
        <v>Éléments en béton pour la construction</v>
      </c>
      <c r="C147" s="151">
        <v>-3.9347948285554102E-3</v>
      </c>
      <c r="D147" s="151">
        <v>-2.8081999438359651E-3</v>
      </c>
    </row>
    <row r="148" spans="1:4">
      <c r="A148" s="166" t="str">
        <v>010763825</v>
      </c>
      <c r="B148" s="166" t="str">
        <v>Peintures Industries</v>
      </c>
      <c r="C148" s="151">
        <v>-2.6168699186991939E-2</v>
      </c>
      <c r="D148" s="151">
        <v>-4.2755051749630457E-2</v>
      </c>
    </row>
    <row r="149" spans="1:4">
      <c r="A149" s="166" t="str">
        <v>010763871</v>
      </c>
      <c r="B149" s="166" t="str">
        <v>Produits de voierie en béton</v>
      </c>
      <c r="C149" s="151">
        <v>-3.3995815899581561E-2</v>
      </c>
      <c r="D149" s="151">
        <v>-4.4605413648494019E-2</v>
      </c>
    </row>
    <row r="150" spans="1:4">
      <c r="A150" s="166" t="str">
        <v>010764291</v>
      </c>
      <c r="B150" s="166" t="str">
        <v>Électricité vendue aux entreprises consommatrices finales</v>
      </c>
      <c r="C150" s="151">
        <v>-0.16633266533066127</v>
      </c>
      <c r="D150" s="151">
        <v>0.28211116300794026</v>
      </c>
    </row>
    <row r="156" spans="1:4">
      <c r="A156" s="279" t="str">
        <f>"CLASSEMENT DES INDICES SELON LEUR ÉVOLUTION A FIN "&amp;'A MODIFIER'!F4&amp;" PAR RAPPORT À "&amp;UPPER(TEXT(EDATE(DATE4,-12)," mmmmmmmm aaaa"))&amp;" ET "&amp;TEXT(EDATE(DATE4,-24),"aaaa")</f>
        <v>CLASSEMENT DES INDICES SELON LEUR ÉVOLUTION A FIN MAI 2026 PAR RAPPORT À  MAI 2025 ET 2024</v>
      </c>
      <c r="B156" s="280"/>
      <c r="C156" s="280"/>
      <c r="D156" s="280"/>
    </row>
    <row r="158" spans="1:4">
      <c r="A158" s="45" t="str">
        <f>'A MODIFIER'!E17</f>
        <v>*/mai 2025 = mai 2026/mai 2025</v>
      </c>
    </row>
    <row r="159" spans="1:4">
      <c r="A159" s="45" t="str">
        <f>'A MODIFIER'!E18</f>
        <v>*/mai 2024 = mai 2026/mai 2024</v>
      </c>
    </row>
    <row r="161" spans="1:4">
      <c r="A161" s="278"/>
      <c r="B161" s="278"/>
      <c r="C161" s="165" t="str">
        <f>'A MODIFIER'!E15</f>
        <v>*/mai 2025</v>
      </c>
      <c r="D161" s="165" t="str">
        <f>'A MODIFIER'!E16</f>
        <v>*/mai 2024</v>
      </c>
    </row>
    <row r="162" spans="1:4">
      <c r="A162" s="8" t="str" cm="1">
        <f t="array" ref="A162:D200">'CALCULS DERNIERES EVOL INDICES'!J161:M199</f>
        <v>Gazole routier HTT</v>
      </c>
      <c r="B162" s="8" t="str">
        <v>Gazole routier HTT</v>
      </c>
      <c r="C162" s="151">
        <v>0.70812978072356803</v>
      </c>
      <c r="D162" s="151">
        <v>0.41930747583506678</v>
      </c>
    </row>
    <row r="163" spans="1:4">
      <c r="A163" s="8" t="str">
        <v>010777519</v>
      </c>
      <c r="B163" s="8" t="str">
        <v>GNR pour les Travaux Publics</v>
      </c>
      <c r="C163" s="151">
        <v>0.52</v>
      </c>
      <c r="D163" s="151">
        <v>0.50708215297450443</v>
      </c>
    </row>
    <row r="164" spans="1:4">
      <c r="A164" s="8" t="str">
        <v>001764283</v>
      </c>
      <c r="B164" s="8" t="str">
        <v>Gazole</v>
      </c>
      <c r="C164" s="151">
        <v>0.37977998952331049</v>
      </c>
      <c r="D164" s="151">
        <v>0.24633292325163225</v>
      </c>
    </row>
    <row r="165" spans="1:4">
      <c r="A165" s="8" t="str">
        <v>010764143</v>
      </c>
      <c r="B165" s="8" t="str">
        <v>Matières plastiques sous formes primaires</v>
      </c>
      <c r="C165" s="151">
        <v>0.30793991416309008</v>
      </c>
      <c r="D165" s="151">
        <v>0.24387755102040831</v>
      </c>
    </row>
    <row r="166" spans="1:4">
      <c r="A166" s="8" t="str">
        <v>010764297</v>
      </c>
      <c r="B166" s="8" t="str">
        <v>Gaz naturel</v>
      </c>
      <c r="C166" s="151">
        <v>0.30558858501783592</v>
      </c>
      <c r="D166" s="151">
        <v>0.51867219917012441</v>
      </c>
    </row>
    <row r="167" spans="1:4">
      <c r="A167" s="8" t="str">
        <v>010764136</v>
      </c>
      <c r="B167" s="8" t="str">
        <v>Bitume</v>
      </c>
      <c r="C167" s="151">
        <v>0.28130360205831906</v>
      </c>
      <c r="D167" s="151">
        <v>0.125</v>
      </c>
    </row>
    <row r="168" spans="1:4">
      <c r="A168" s="8" t="str">
        <v>010764224</v>
      </c>
      <c r="B168" s="8" t="str">
        <v>Matériel de distribution et de commande électrique</v>
      </c>
      <c r="C168" s="151">
        <v>0.18883415435139583</v>
      </c>
      <c r="D168" s="151">
        <v>0.19966859983429996</v>
      </c>
    </row>
    <row r="169" spans="1:4">
      <c r="A169" s="8" t="str">
        <v>010763845</v>
      </c>
      <c r="B169" s="8" t="str">
        <v>Tubes, tuyaux en matière plastique</v>
      </c>
      <c r="C169" s="151">
        <v>0.17618110236220486</v>
      </c>
      <c r="D169" s="151">
        <v>0.14793467819404427</v>
      </c>
    </row>
    <row r="170" spans="1:4">
      <c r="A170" s="8" t="str">
        <v>010764223</v>
      </c>
      <c r="B170" s="8" t="str">
        <v>Moteurs, génératrices, transfo. électr., matér. distrib., cmde électr.</v>
      </c>
      <c r="C170" s="151">
        <v>0.11612364243943185</v>
      </c>
      <c r="D170" s="151">
        <v>0.13702127659574459</v>
      </c>
    </row>
    <row r="171" spans="1:4">
      <c r="A171" s="8" t="str">
        <v>010764160</v>
      </c>
      <c r="B171" s="8" t="str">
        <v>Plaques, feuilles, tubes et profilés en matières plastiques</v>
      </c>
      <c r="C171" s="151">
        <v>0.11275415896487995</v>
      </c>
      <c r="D171" s="151">
        <v>0.11792014856081701</v>
      </c>
    </row>
    <row r="172" spans="1:4">
      <c r="A172" s="8" t="str">
        <v>010765839</v>
      </c>
      <c r="B172" s="8" t="str">
        <v>Tôles quarto et autres produits plats en aciers non alliés de qualité</v>
      </c>
      <c r="C172" s="151">
        <v>7.4608904933814779E-2</v>
      </c>
      <c r="D172" s="151">
        <v>-7.7777777777777724E-3</v>
      </c>
    </row>
    <row r="173" spans="1:4">
      <c r="A173" s="8" t="str">
        <v>010763881</v>
      </c>
      <c r="B173" s="8" t="str">
        <v>Produits sidérurgiques en acier non allié</v>
      </c>
      <c r="C173" s="151">
        <v>7.3093220338982912E-2</v>
      </c>
      <c r="D173" s="151">
        <v>4.4329896907216559E-2</v>
      </c>
    </row>
    <row r="174" spans="1:4">
      <c r="A174" s="8" t="str">
        <v>010763930</v>
      </c>
      <c r="B174" s="8" t="str">
        <v>Fils et câbles d'énergie</v>
      </c>
      <c r="C174" s="151">
        <v>7.2317262830482232E-2</v>
      </c>
      <c r="D174" s="151">
        <v>0.10585404971932633</v>
      </c>
    </row>
    <row r="175" spans="1:4">
      <c r="A175" s="8" t="str">
        <v>010764149</v>
      </c>
      <c r="B175" s="8" t="str">
        <v>Autres produits chimiques</v>
      </c>
      <c r="C175" s="151">
        <v>6.7506750675067506E-2</v>
      </c>
      <c r="D175" s="151">
        <v>0.1001855287569573</v>
      </c>
    </row>
    <row r="176" spans="1:4">
      <c r="A176" s="8" t="str">
        <v>010766236</v>
      </c>
      <c r="B176" s="8" t="str">
        <v>Barres crénelées ou nervurées pour béton armé</v>
      </c>
      <c r="C176" s="151">
        <v>6.4732142857143016E-2</v>
      </c>
      <c r="D176" s="151">
        <v>7.1910112359550693E-2</v>
      </c>
    </row>
    <row r="177" spans="1:4">
      <c r="A177" s="8" t="str">
        <v>010764301</v>
      </c>
      <c r="B177" s="8" t="str">
        <v>Collecte, traitement et élimination des déchets ; récupération de matériaux</v>
      </c>
      <c r="C177" s="151">
        <v>6.3694267515923553E-2</v>
      </c>
      <c r="D177" s="151">
        <v>4.3749999999999956E-2</v>
      </c>
    </row>
    <row r="178" spans="1:4">
      <c r="A178" s="8" t="str">
        <v>010764176</v>
      </c>
      <c r="B178" s="8" t="str">
        <v>Ciment, chaux et plâtre</v>
      </c>
      <c r="C178" s="151">
        <v>3.9835164835164916E-2</v>
      </c>
      <c r="D178" s="151">
        <v>5.4317548746518174E-2</v>
      </c>
    </row>
    <row r="179" spans="1:4">
      <c r="A179" s="8" t="str">
        <v>010764187</v>
      </c>
      <c r="B179" s="8" t="str">
        <v>Tubes, tuyaux, profilés creux et accessoires correspondants en acier</v>
      </c>
      <c r="C179" s="151">
        <v>3.9669421487603218E-2</v>
      </c>
      <c r="D179" s="151">
        <v>8.0128205128204844E-3</v>
      </c>
    </row>
    <row r="180" spans="1:4">
      <c r="A180" s="8" t="str">
        <v>010764180</v>
      </c>
      <c r="B180" s="8" t="str">
        <v>Béton prêt à l'emploi</v>
      </c>
      <c r="C180" s="151">
        <v>3.6446469248291757E-2</v>
      </c>
      <c r="D180" s="151">
        <v>5.8139534883721034E-2</v>
      </c>
    </row>
    <row r="181" spans="1:4">
      <c r="A181" s="8">
        <v>8682743</v>
      </c>
      <c r="B181" s="8" t="str">
        <v>Travail</v>
      </c>
      <c r="C181" s="151">
        <v>3.3236994219653093E-2</v>
      </c>
      <c r="D181" s="151">
        <v>6.9558713537771322E-2</v>
      </c>
    </row>
    <row r="182" spans="1:4">
      <c r="A182" s="8" t="str">
        <v>010765500</v>
      </c>
      <c r="B182" s="8" t="str">
        <v>Sables et granulats</v>
      </c>
      <c r="C182" s="151">
        <v>3.2702237521514688E-2</v>
      </c>
      <c r="D182" s="151">
        <v>4.1666666666666741E-2</v>
      </c>
    </row>
    <row r="183" spans="1:4">
      <c r="A183" s="8" t="str">
        <v>001711943</v>
      </c>
      <c r="B183" s="8" t="str">
        <v>Transports routiers</v>
      </c>
      <c r="C183" s="151">
        <v>2.9482071713147429E-2</v>
      </c>
      <c r="D183" s="151">
        <v>4.7001620745542816E-2</v>
      </c>
    </row>
    <row r="184" spans="1:4">
      <c r="A184" s="8" t="str">
        <v>010764101</v>
      </c>
      <c r="B184" s="8" t="str">
        <v>Autres textiles</v>
      </c>
      <c r="C184" s="151">
        <v>2.8472821397756753E-2</v>
      </c>
      <c r="D184" s="151">
        <v>5.0220264317180741E-2</v>
      </c>
    </row>
    <row r="185" spans="1:4">
      <c r="A185" s="8" t="str">
        <v>010764181</v>
      </c>
      <c r="B185" s="8" t="str">
        <v>Mortiers et bétons secs</v>
      </c>
      <c r="C185" s="151">
        <v>2.4411508282476069E-2</v>
      </c>
      <c r="D185" s="151">
        <v>2.3519163763066286E-2</v>
      </c>
    </row>
    <row r="186" spans="1:4">
      <c r="A186" s="8" t="str">
        <v>001711011</v>
      </c>
      <c r="B186" s="8" t="str">
        <v>Frais divers</v>
      </c>
      <c r="C186" s="151">
        <v>2.201524132091448E-2</v>
      </c>
      <c r="D186" s="151">
        <v>2.0287404902789463E-2</v>
      </c>
    </row>
    <row r="187" spans="1:4">
      <c r="A187" s="8" t="str">
        <v>001565195</v>
      </c>
      <c r="B187" s="8" t="str">
        <v>Travail activités spécialisées</v>
      </c>
      <c r="C187" s="151">
        <v>1.9174041297935096E-2</v>
      </c>
      <c r="D187" s="151">
        <v>4.4595616024187379E-2</v>
      </c>
    </row>
    <row r="188" spans="1:4">
      <c r="A188" s="8" t="str">
        <v>010764172</v>
      </c>
      <c r="B188" s="8" t="str">
        <v>Tuiles, briques et produits de construction en terre cuite</v>
      </c>
      <c r="C188" s="151">
        <v>1.2142857142857011E-2</v>
      </c>
      <c r="D188" s="151">
        <v>1.5042979942693435E-2</v>
      </c>
    </row>
    <row r="189" spans="1:4">
      <c r="A189" s="8" t="str">
        <v> 010764116</v>
      </c>
      <c r="B189" s="8" t="str">
        <v>Ensemble des produits du sciage</v>
      </c>
      <c r="C189" s="151">
        <v>1.1473962930273585E-2</v>
      </c>
      <c r="D189" s="151">
        <v>6.4066852367687943E-2</v>
      </c>
    </row>
    <row r="190" spans="1:4">
      <c r="A190" s="8" t="str">
        <v>001711009</v>
      </c>
      <c r="B190" s="8" t="str">
        <v>Matériel</v>
      </c>
      <c r="C190" s="151">
        <v>1.1075949367088445E-2</v>
      </c>
      <c r="D190" s="151">
        <v>2.3218574859887875E-2</v>
      </c>
    </row>
    <row r="191" spans="1:4">
      <c r="A191" s="8" t="str">
        <v>010764195</v>
      </c>
      <c r="B191" s="8" t="str">
        <v>Travaux de fonderie de fonte</v>
      </c>
      <c r="C191" s="151">
        <v>8.4226646248084514E-3</v>
      </c>
      <c r="D191" s="151">
        <v>2.2515527950310421E-2</v>
      </c>
    </row>
    <row r="192" spans="1:4">
      <c r="A192" s="8" t="str">
        <v>010766292</v>
      </c>
      <c r="B192" s="8" t="str">
        <v>Réseaux d’assainissement</v>
      </c>
      <c r="C192" s="151">
        <v>4.6047582501917983E-3</v>
      </c>
      <c r="D192" s="151">
        <v>8.4745762711864181E-3</v>
      </c>
    </row>
    <row r="193" spans="1:4">
      <c r="A193" s="8" t="str">
        <v>010764306</v>
      </c>
      <c r="B193" s="8" t="str">
        <v>Traitement et élimination des déchets non dangereux</v>
      </c>
      <c r="C193" s="151">
        <v>4.2122999157538921E-3</v>
      </c>
      <c r="D193" s="151">
        <v>2.8472821397756753E-2</v>
      </c>
    </row>
    <row r="194" spans="1:4">
      <c r="A194" s="8" t="str">
        <v>010764834</v>
      </c>
      <c r="B194" s="8" t="str">
        <v>Câbles de fibres optiques</v>
      </c>
      <c r="C194" s="151">
        <v>-3.558718861209953E-3</v>
      </c>
      <c r="D194" s="151">
        <v>-0.14634146341463417</v>
      </c>
    </row>
    <row r="195" spans="1:4">
      <c r="A195" s="8" t="str">
        <v>010764179</v>
      </c>
      <c r="B195" s="8" t="str">
        <v>Éléments en béton pour la construction</v>
      </c>
      <c r="C195" s="151">
        <v>-5.0420168067226712E-3</v>
      </c>
      <c r="D195" s="151">
        <v>-2.9508196721311442E-2</v>
      </c>
    </row>
    <row r="196" spans="1:4">
      <c r="A196" s="8" t="str">
        <v>010764228</v>
      </c>
      <c r="B196" s="8" t="str">
        <v>Appareils d'éclairage électrique</v>
      </c>
      <c r="C196" s="151">
        <v>-5.5865921787709993E-3</v>
      </c>
      <c r="D196" s="151">
        <v>-5.5865921787709993E-3</v>
      </c>
    </row>
    <row r="197" spans="1:4">
      <c r="A197" s="8" t="str">
        <v>010765837</v>
      </c>
      <c r="B197" s="8" t="str">
        <v>Acier pour la construction</v>
      </c>
      <c r="C197" s="151">
        <v>-2.0386266094420624E-2</v>
      </c>
      <c r="D197" s="151">
        <v>-1.5102481121898603E-2</v>
      </c>
    </row>
    <row r="198" spans="1:4">
      <c r="A198" s="8" t="str">
        <v>010764291</v>
      </c>
      <c r="B198" s="8" t="str">
        <v>Électricité vendue aux entreprises consommatrices finales</v>
      </c>
      <c r="C198" s="151">
        <v>-3.1774051191526875E-2</v>
      </c>
      <c r="D198" s="151">
        <v>-0.12798092209856915</v>
      </c>
    </row>
    <row r="199" spans="1:4">
      <c r="A199" s="8" t="str">
        <v>010763825</v>
      </c>
      <c r="B199" s="8" t="str">
        <v>Peintures Industries</v>
      </c>
      <c r="C199" s="151">
        <v>-4.7829286239882252E-2</v>
      </c>
      <c r="D199" s="151">
        <v>-5.685131195335269E-2</v>
      </c>
    </row>
    <row r="200" spans="1:4">
      <c r="A200" s="8" t="str">
        <v>010763871</v>
      </c>
      <c r="B200" s="8" t="str">
        <v>Produits de voierie en béton</v>
      </c>
      <c r="C200" s="151">
        <v>-5.2388289676425392E-2</v>
      </c>
      <c r="D200" s="151">
        <v>-5.9633027522935866E-2</v>
      </c>
    </row>
    <row r="205" spans="1:4">
      <c r="A205" s="279" t="str">
        <f>"CLASSEMENT DES INDICES SELON LEUR ÉVOLUTION A FIN "&amp;'A MODIFIER'!F4&amp;" PAR RAPPORT À "&amp;UPPER(TEXT(EDATE(DATE4,-1)," mmmmmmmm aaaa"))</f>
        <v>CLASSEMENT DES INDICES SELON LEUR ÉVOLUTION A FIN MAI 2026 PAR RAPPORT À  AVRIL 2026</v>
      </c>
      <c r="B205" s="279"/>
      <c r="C205" s="279"/>
      <c r="D205" s="279"/>
    </row>
    <row r="208" spans="1:4">
      <c r="A208" s="8" t="str" cm="1">
        <f t="array" ref="A208:C246">'CALCULS DERNIERES EVOL INDICES'!J212:L250</f>
        <v>010763845</v>
      </c>
      <c r="B208" s="8" t="str">
        <v>Tubes, tuyaux en matière plastique</v>
      </c>
      <c r="C208" s="151">
        <v>0.1064814814814814</v>
      </c>
    </row>
    <row r="209" spans="1:3">
      <c r="A209" s="8" t="str">
        <v>010764160</v>
      </c>
      <c r="B209" s="8" t="str">
        <v>Plaques, feuilles, tubes et profilés en matières plastiques</v>
      </c>
      <c r="C209" s="151">
        <v>8.1761006289308158E-2</v>
      </c>
    </row>
    <row r="210" spans="1:3">
      <c r="A210" s="8" t="str">
        <v>010766236</v>
      </c>
      <c r="B210" s="8" t="str">
        <v>Barres crénelées ou nervurées pour béton armé</v>
      </c>
      <c r="C210" s="151">
        <v>4.4906900328587129E-2</v>
      </c>
    </row>
    <row r="211" spans="1:3">
      <c r="A211" s="8" t="str">
        <v>010764149</v>
      </c>
      <c r="B211" s="8" t="str">
        <v>Autres produits chimiques</v>
      </c>
      <c r="C211" s="151">
        <v>3.3101045296167309E-2</v>
      </c>
    </row>
    <row r="212" spans="1:3">
      <c r="A212" s="8" t="str">
        <v>010765839</v>
      </c>
      <c r="B212" s="8" t="str">
        <v>Tôles quarto et autres produits plats en aciers non alliés de qualité</v>
      </c>
      <c r="C212" s="151">
        <v>2.2909507445589838E-2</v>
      </c>
    </row>
    <row r="213" spans="1:3">
      <c r="A213" s="8" t="str">
        <v>010764143</v>
      </c>
      <c r="B213" s="8" t="str">
        <v>Matières plastiques sous formes primaires</v>
      </c>
      <c r="C213" s="151">
        <v>1.9230769230769384E-2</v>
      </c>
    </row>
    <row r="214" spans="1:3">
      <c r="A214" s="8" t="str">
        <v>010763825</v>
      </c>
      <c r="B214" s="8" t="str">
        <v>Peintures Industries</v>
      </c>
      <c r="C214" s="151">
        <v>1.5698587127158659E-2</v>
      </c>
    </row>
    <row r="215" spans="1:3">
      <c r="A215" s="8" t="str">
        <v>010764301</v>
      </c>
      <c r="B215" s="8" t="str">
        <v>Collecte, traitement et élimination des déchets ; récupération de matériaux</v>
      </c>
      <c r="C215" s="151">
        <v>1.5638575152041811E-2</v>
      </c>
    </row>
    <row r="216" spans="1:3">
      <c r="A216" s="8" t="str">
        <v>010764176</v>
      </c>
      <c r="B216" s="8" t="str">
        <v>Ciment, chaux et plâtre</v>
      </c>
      <c r="C216" s="151">
        <v>1.5425888665325349E-2</v>
      </c>
    </row>
    <row r="217" spans="1:3">
      <c r="A217" s="8" t="str">
        <v>010764187</v>
      </c>
      <c r="B217" s="8" t="str">
        <v>Tubes, tuyaux, profilés creux et accessoires correspondants en acier</v>
      </c>
      <c r="C217" s="151">
        <v>1.4516129032257963E-2</v>
      </c>
    </row>
    <row r="218" spans="1:3">
      <c r="A218" s="8" t="str">
        <v>010763881</v>
      </c>
      <c r="B218" s="8" t="str">
        <v>Produits sidérurgiques en acier non allié</v>
      </c>
      <c r="C218" s="151">
        <v>1.401401401401392E-2</v>
      </c>
    </row>
    <row r="219" spans="1:3">
      <c r="A219" s="8" t="str">
        <v>010764172</v>
      </c>
      <c r="B219" s="8" t="str">
        <v>Tuiles, briques et produits de construction en terre cuite</v>
      </c>
      <c r="C219" s="151">
        <v>1.2142857142857011E-2</v>
      </c>
    </row>
    <row r="220" spans="1:3">
      <c r="A220" s="8" t="str">
        <v>010764195</v>
      </c>
      <c r="B220" s="8" t="str">
        <v>Travaux de fonderie de fonte</v>
      </c>
      <c r="C220" s="151">
        <v>9.1954022988505191E-3</v>
      </c>
    </row>
    <row r="221" spans="1:3">
      <c r="A221" s="8" t="str">
        <v>010764834</v>
      </c>
      <c r="B221" s="8" t="str">
        <v>Câbles de fibres optiques</v>
      </c>
      <c r="C221" s="151">
        <v>5.9880239520957446E-3</v>
      </c>
    </row>
    <row r="222" spans="1:3">
      <c r="A222" s="8" t="str">
        <v>010764101</v>
      </c>
      <c r="B222" s="8" t="str">
        <v>Autres textiles</v>
      </c>
      <c r="C222" s="151">
        <v>4.2122999157538921E-3</v>
      </c>
    </row>
    <row r="223" spans="1:3">
      <c r="A223" s="8" t="str">
        <v>010764181</v>
      </c>
      <c r="B223" s="8" t="str">
        <v>Mortiers et bétons secs</v>
      </c>
      <c r="C223" s="151">
        <v>3.4158838599487318E-3</v>
      </c>
    </row>
    <row r="224" spans="1:3">
      <c r="A224" s="8" t="str">
        <v>010764179</v>
      </c>
      <c r="B224" s="8" t="str">
        <v>Éléments en béton pour la construction</v>
      </c>
      <c r="C224" s="151">
        <v>1.6920473773265332E-3</v>
      </c>
    </row>
    <row r="225" spans="1:3">
      <c r="A225" s="8" t="str">
        <v>010764306</v>
      </c>
      <c r="B225" s="8" t="str">
        <v>Traitement et élimination des déchets non dangereux</v>
      </c>
      <c r="C225" s="151">
        <v>1.6806722689075571E-3</v>
      </c>
    </row>
    <row r="226" spans="1:3">
      <c r="A226" s="8" t="str">
        <v>010764223</v>
      </c>
      <c r="B226" s="8" t="str">
        <v>Moteurs, génératrices, transfo. électr., matér. distrib., cmde électr.</v>
      </c>
      <c r="C226" s="151">
        <v>1.4992503748125774E-3</v>
      </c>
    </row>
    <row r="227" spans="1:3">
      <c r="A227" s="8">
        <v>8682743</v>
      </c>
      <c r="B227" s="8" t="str">
        <v>Travail</v>
      </c>
      <c r="C227" s="151">
        <v>0</v>
      </c>
    </row>
    <row r="228" spans="1:3">
      <c r="A228" s="8" t="str">
        <v>001565195</v>
      </c>
      <c r="B228" s="8" t="str">
        <v>Travail activités spécialisées</v>
      </c>
      <c r="C228" s="151">
        <v>0</v>
      </c>
    </row>
    <row r="229" spans="1:3">
      <c r="A229" s="8" t="str">
        <v>001711943</v>
      </c>
      <c r="B229" s="8" t="str">
        <v>Transports routiers</v>
      </c>
      <c r="C229" s="151">
        <v>0</v>
      </c>
    </row>
    <row r="230" spans="1:3">
      <c r="A230" s="8" t="str">
        <v> 010764116</v>
      </c>
      <c r="B230" s="8" t="str">
        <v>Ensemble des produits du sciage</v>
      </c>
      <c r="C230" s="151">
        <v>0</v>
      </c>
    </row>
    <row r="231" spans="1:3">
      <c r="A231" s="8" t="str">
        <v>010765837</v>
      </c>
      <c r="B231" s="8" t="str">
        <v>Acier pour la construction</v>
      </c>
      <c r="C231" s="151">
        <v>0</v>
      </c>
    </row>
    <row r="232" spans="1:3">
      <c r="A232" s="8" t="str">
        <v>010766292</v>
      </c>
      <c r="B232" s="8" t="str">
        <v>Réseaux d’assainissement</v>
      </c>
      <c r="C232" s="151">
        <v>0</v>
      </c>
    </row>
    <row r="233" spans="1:3">
      <c r="A233" s="8" t="str">
        <v>010763930</v>
      </c>
      <c r="B233" s="8" t="str">
        <v>Fils et câbles d'énergie</v>
      </c>
      <c r="C233" s="151">
        <v>0</v>
      </c>
    </row>
    <row r="234" spans="1:3">
      <c r="A234" s="8" t="str">
        <v>010764224</v>
      </c>
      <c r="B234" s="8" t="str">
        <v>Matériel de distribution et de commande électrique</v>
      </c>
      <c r="C234" s="151">
        <v>0</v>
      </c>
    </row>
    <row r="235" spans="1:3">
      <c r="A235" s="8" t="str">
        <v>001711009</v>
      </c>
      <c r="B235" s="8" t="str">
        <v>Matériel</v>
      </c>
      <c r="C235" s="151">
        <v>-2.3419203747072626E-3</v>
      </c>
    </row>
    <row r="236" spans="1:3">
      <c r="A236" s="8" t="str">
        <v>010764136</v>
      </c>
      <c r="B236" s="8" t="str">
        <v>Bitume</v>
      </c>
      <c r="C236" s="151">
        <v>-2.6702269692924219E-3</v>
      </c>
    </row>
    <row r="237" spans="1:3">
      <c r="A237" s="8" t="str">
        <v>010764228</v>
      </c>
      <c r="B237" s="8" t="str">
        <v>Appareils d'éclairage électrique</v>
      </c>
      <c r="C237" s="151">
        <v>-3.7313432835821558E-3</v>
      </c>
    </row>
    <row r="238" spans="1:3">
      <c r="A238" s="8" t="str">
        <v>010763871</v>
      </c>
      <c r="B238" s="8" t="str">
        <v>Produits de voierie en béton</v>
      </c>
      <c r="C238" s="151">
        <v>-5.6588520614390125E-3</v>
      </c>
    </row>
    <row r="239" spans="1:3">
      <c r="A239" s="8" t="str">
        <v>001711011</v>
      </c>
      <c r="B239" s="8" t="str">
        <v>Frais divers</v>
      </c>
      <c r="C239" s="151">
        <v>-5.7660626029654161E-3</v>
      </c>
    </row>
    <row r="240" spans="1:3">
      <c r="A240" s="8" t="str">
        <v>010764180</v>
      </c>
      <c r="B240" s="8" t="str">
        <v>Béton prêt à l'emploi</v>
      </c>
      <c r="C240" s="151">
        <v>-7.2727272727273196E-3</v>
      </c>
    </row>
    <row r="241" spans="1:4">
      <c r="A241" s="8" t="str">
        <v>010765500</v>
      </c>
      <c r="B241" s="8" t="str">
        <v>Sables et granulats</v>
      </c>
      <c r="C241" s="151">
        <v>-8.2644628099173278E-3</v>
      </c>
    </row>
    <row r="242" spans="1:4">
      <c r="A242" s="8" t="str">
        <v>001764283</v>
      </c>
      <c r="B242" s="8" t="str">
        <v>Gazole</v>
      </c>
      <c r="C242" s="151">
        <v>-5.0742395848349608E-2</v>
      </c>
    </row>
    <row r="243" spans="1:4">
      <c r="A243" s="8" t="str">
        <v>010777519</v>
      </c>
      <c r="B243" s="8" t="str">
        <v>GNR pour les Travaux Publics</v>
      </c>
      <c r="C243" s="151">
        <v>-7.5987841945288737E-2</v>
      </c>
    </row>
    <row r="244" spans="1:4">
      <c r="A244" s="8" t="str">
        <v>Gazole routier HTT</v>
      </c>
      <c r="B244" s="8" t="str">
        <v>Gazole routier HTT</v>
      </c>
      <c r="C244" s="151">
        <v>-7.8121274735754587E-2</v>
      </c>
    </row>
    <row r="245" spans="1:4">
      <c r="A245" s="8" t="str">
        <v>010764297</v>
      </c>
      <c r="B245" s="8" t="str">
        <v>Gaz naturel</v>
      </c>
      <c r="C245" s="151">
        <v>-0.10147299509001639</v>
      </c>
    </row>
    <row r="246" spans="1:4">
      <c r="A246" s="8" t="str">
        <v>010764291</v>
      </c>
      <c r="B246" s="8" t="str">
        <v>Électricité vendue aux entreprises consommatrices finales</v>
      </c>
      <c r="C246" s="151">
        <v>-0.11816720257234725</v>
      </c>
    </row>
    <row r="248" spans="1:4">
      <c r="C248"/>
      <c r="D248"/>
    </row>
    <row r="249" spans="1:4">
      <c r="A249" t="s">
        <v>365</v>
      </c>
      <c r="C249"/>
      <c r="D249"/>
    </row>
    <row r="250" spans="1:4">
      <c r="A250" t="s">
        <v>364</v>
      </c>
      <c r="C250"/>
      <c r="D250"/>
    </row>
    <row r="251" spans="1:4">
      <c r="C251"/>
      <c r="D251"/>
    </row>
    <row r="252" spans="1:4">
      <c r="A252" t="s">
        <v>363</v>
      </c>
    </row>
    <row r="253" spans="1:4">
      <c r="A253" t="s">
        <v>362</v>
      </c>
    </row>
    <row r="258" spans="1:1">
      <c r="A258" s="187"/>
    </row>
    <row r="259" spans="1:1">
      <c r="A259" s="187"/>
    </row>
    <row r="260" spans="1:1">
      <c r="A260" s="187"/>
    </row>
    <row r="261" spans="1:1">
      <c r="A261" s="187"/>
    </row>
    <row r="262" spans="1:1">
      <c r="A262" s="187"/>
    </row>
  </sheetData>
  <mergeCells count="9">
    <mergeCell ref="A111:B111"/>
    <mergeCell ref="A161:B161"/>
    <mergeCell ref="A156:D156"/>
    <mergeCell ref="A205:D205"/>
    <mergeCell ref="A1:D1"/>
    <mergeCell ref="A10:B10"/>
    <mergeCell ref="A56:D56"/>
    <mergeCell ref="A61:B61"/>
    <mergeCell ref="A106:D106"/>
  </mergeCells>
  <conditionalFormatting sqref="C208:C246">
    <cfRule type="colorScale" priority="1">
      <colorScale>
        <cfvo type="min"/>
        <cfvo type="percentile" val="50"/>
        <cfvo type="max"/>
        <color theme="5" tint="0.39997558519241921"/>
        <color theme="0"/>
        <color theme="9"/>
      </colorScale>
    </cfRule>
  </conditionalFormatting>
  <conditionalFormatting sqref="C11:D49">
    <cfRule type="colorScale" priority="5">
      <colorScale>
        <cfvo type="min"/>
        <cfvo type="percentile" val="50"/>
        <cfvo type="max"/>
        <color theme="5" tint="0.39997558519241921"/>
        <color theme="0"/>
        <color theme="9"/>
      </colorScale>
    </cfRule>
  </conditionalFormatting>
  <conditionalFormatting sqref="C62:D100">
    <cfRule type="colorScale" priority="4">
      <colorScale>
        <cfvo type="min"/>
        <cfvo type="percentile" val="50"/>
        <cfvo type="max"/>
        <color theme="5" tint="0.39997558519241921"/>
        <color theme="0"/>
        <color theme="9"/>
      </colorScale>
    </cfRule>
  </conditionalFormatting>
  <conditionalFormatting sqref="C112:D150">
    <cfRule type="colorScale" priority="3">
      <colorScale>
        <cfvo type="min"/>
        <cfvo type="percentile" val="50"/>
        <cfvo type="max"/>
        <color theme="5" tint="0.39997558519241921"/>
        <color theme="0"/>
        <color theme="9"/>
      </colorScale>
    </cfRule>
  </conditionalFormatting>
  <conditionalFormatting sqref="C162:D200">
    <cfRule type="colorScale" priority="2">
      <colorScale>
        <cfvo type="min"/>
        <cfvo type="percentile" val="50"/>
        <cfvo type="max"/>
        <color theme="5" tint="0.39997558519241921"/>
        <color theme="0"/>
        <color theme="9"/>
      </colorScale>
    </cfRule>
  </conditionalFormatting>
  <pageMargins left="0.7" right="0.7" top="0.75" bottom="0.75" header="0.3" footer="0.3"/>
  <pageSetup paperSize="9" scale="77" fitToHeight="0"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640B9-AEF6-4631-9CDF-8C85A2296920}">
  <sheetPr codeName="Feuil22">
    <tabColor rgb="FFFF0000"/>
  </sheetPr>
  <dimension ref="A1:F41"/>
  <sheetViews>
    <sheetView showGridLines="0" workbookViewId="0">
      <selection activeCell="B34" sqref="B34"/>
    </sheetView>
  </sheetViews>
  <sheetFormatPr baseColWidth="10" defaultRowHeight="15"/>
  <cols>
    <col min="1" max="1" width="5.42578125" style="21" bestFit="1" customWidth="1"/>
    <col min="2" max="2" width="107.28515625" customWidth="1"/>
    <col min="4" max="4" width="15.42578125" bestFit="1" customWidth="1"/>
    <col min="5" max="5" width="61.28515625" bestFit="1" customWidth="1"/>
  </cols>
  <sheetData>
    <row r="1" spans="1:6" ht="18.75">
      <c r="A1" s="281" t="s">
        <v>183</v>
      </c>
      <c r="B1" s="282"/>
      <c r="C1" s="118"/>
      <c r="D1" s="283" t="s">
        <v>184</v>
      </c>
      <c r="E1" s="283"/>
    </row>
    <row r="2" spans="1:6">
      <c r="B2" s="3"/>
      <c r="E2" s="3"/>
    </row>
    <row r="3" spans="1:6">
      <c r="A3" s="135" t="s">
        <v>19</v>
      </c>
      <c r="B3" s="194" t="str">
        <f>HYPERLINK('DEPUIS JANVIER'!A7,'DEPUIS JANVIER'!C7)</f>
        <v>Index général tous travaux</v>
      </c>
      <c r="D3" s="135" t="s">
        <v>47</v>
      </c>
      <c r="E3" s="163" t="str">
        <f>HYPERLINK('DEPUIS JANVIER'!A45,'DEPUIS JANVIER'!C45)</f>
        <v>Matériel</v>
      </c>
    </row>
    <row r="4" spans="1:6">
      <c r="A4" s="135" t="s">
        <v>20</v>
      </c>
      <c r="B4" s="194" t="str">
        <f>HYPERLINK('DEPUIS JANVIER'!A8,'DEPUIS JANVIER'!C8)</f>
        <v>Travaux de génie civil et d’ouvrages d’art neufs ou rénovation</v>
      </c>
      <c r="D4" s="135">
        <v>11800704</v>
      </c>
      <c r="E4" s="163" t="str">
        <f>HYPERLINK('DEPUIS JANVIER'!A46,'DEPUIS JANVIER'!C46)</f>
        <v>Travail</v>
      </c>
      <c r="F4" s="37"/>
    </row>
    <row r="5" spans="1:6">
      <c r="A5" s="135" t="s">
        <v>21</v>
      </c>
      <c r="B5" s="194" t="str">
        <f>HYPERLINK('DEPUIS JANVIER'!A9,'DEPUIS JANVIER'!C9)</f>
        <v>Grands terrassements</v>
      </c>
      <c r="D5" s="135" t="s">
        <v>49</v>
      </c>
      <c r="E5" s="163" t="str">
        <f>HYPERLINK('DEPUIS JANVIER'!A47,'DEPUIS JANVIER'!C47)</f>
        <v>Travail activités spécialisées</v>
      </c>
    </row>
    <row r="6" spans="1:6">
      <c r="A6" s="135" t="s">
        <v>22</v>
      </c>
      <c r="B6" s="194" t="str">
        <f>HYPERLINK('DEPUIS JANVIER'!A10,'DEPUIS JANVIER'!C10)</f>
        <v>Travaux à l’explosif</v>
      </c>
      <c r="D6" s="143" t="s">
        <v>317</v>
      </c>
      <c r="E6" s="163" t="str">
        <f>HYPERLINK('DEPUIS JANVIER'!A48,'DEPUIS JANVIER'!C48)</f>
        <v>GNR pour les Travaux Publics</v>
      </c>
    </row>
    <row r="7" spans="1:6">
      <c r="A7" s="135" t="s">
        <v>23</v>
      </c>
      <c r="B7" s="194" t="str">
        <f>HYPERLINK('DEPUIS JANVIER'!A11,'DEPUIS JANVIER'!C11)</f>
        <v xml:space="preserve">Fondations et travaux géotechniques </v>
      </c>
      <c r="D7" s="143" t="s">
        <v>358</v>
      </c>
      <c r="E7" s="163" t="str">
        <f>HYPERLINK('DEPUIS JANVIER'!A49,'DEPUIS JANVIER'!C49)</f>
        <v>Gazole</v>
      </c>
    </row>
    <row r="8" spans="1:6">
      <c r="A8" s="135" t="s">
        <v>24</v>
      </c>
      <c r="B8" s="194" t="str">
        <f>HYPERLINK('DEPUIS JANVIER'!A12,'DEPUIS JANVIER'!C12)</f>
        <v xml:space="preserve">Travaux en souterrains traditionnels </v>
      </c>
      <c r="D8" s="135" t="s">
        <v>51</v>
      </c>
      <c r="E8" s="163" t="str">
        <f>HYPERLINK('DEPUIS JANVIER'!A50,'DEPUIS JANVIER'!C50)</f>
        <v>Frais divers</v>
      </c>
    </row>
    <row r="9" spans="1:6">
      <c r="A9" s="135" t="s">
        <v>25</v>
      </c>
      <c r="B9" s="194" t="str">
        <f>HYPERLINK('DEPUIS JANVIER'!A13,'DEPUIS JANVIER'!C13)</f>
        <v xml:space="preserve">Travaux en souterrains avec tunnelier </v>
      </c>
      <c r="D9" s="135" t="s">
        <v>52</v>
      </c>
      <c r="E9" s="163" t="str">
        <f>HYPERLINK('DEPUIS JANVIER'!A51,'DEPUIS JANVIER'!C51)</f>
        <v>Transports routiers</v>
      </c>
    </row>
    <row r="10" spans="1:6">
      <c r="A10" s="135" t="s">
        <v>26</v>
      </c>
      <c r="B10" s="194" t="str">
        <f>HYPERLINK('DEPUIS JANVIER'!A14,'DEPUIS JANVIER'!C14)</f>
        <v>Grands dragages maritimes </v>
      </c>
      <c r="D10" s="143" t="s">
        <v>320</v>
      </c>
      <c r="E10" s="163" t="str">
        <f>HYPERLINK('DEPUIS JANVIER'!A52,'DEPUIS JANVIER'!C52)</f>
        <v>Électricité vendue aux entreprises consommatrices finales</v>
      </c>
    </row>
    <row r="11" spans="1:6">
      <c r="A11" s="135" t="s">
        <v>27</v>
      </c>
      <c r="B11" s="194" t="str">
        <f>HYPERLINK('DEPUIS JANVIER'!A15,'DEPUIS JANVIER'!C15)</f>
        <v>Dragages fluviaux et petits dragages maritimes</v>
      </c>
      <c r="D11" s="143" t="s">
        <v>321</v>
      </c>
      <c r="E11" s="163" t="str">
        <f>HYPERLINK('DEPUIS JANVIER'!A53,'DEPUIS JANVIER'!C53)</f>
        <v>Gaz naturel</v>
      </c>
    </row>
    <row r="12" spans="1:6">
      <c r="A12" s="135" t="s">
        <v>28</v>
      </c>
      <c r="B12" s="194" t="str">
        <f>HYPERLINK('DEPUIS JANVIER'!A16,'DEPUIS JANVIER'!C16)</f>
        <v>Travaux de génie civil, béton et acier pour ouvrages maritimes et fluviaux</v>
      </c>
      <c r="D12" s="135" t="s">
        <v>55</v>
      </c>
      <c r="E12" s="163" t="str">
        <f>HYPERLINK('DEPUIS JANVIER'!A54,'DEPUIS JANVIER'!C54)</f>
        <v>Gazole routier HTT</v>
      </c>
    </row>
    <row r="13" spans="1:6">
      <c r="A13" s="135" t="s">
        <v>29</v>
      </c>
      <c r="B13" s="194" t="str">
        <f>HYPERLINK('DEPUIS JANVIER'!A17,'DEPUIS JANVIER'!C17)</f>
        <v>Travaux d’aménagement et entretien de voirie en zones rurale et urbaine</v>
      </c>
      <c r="D13" s="143" t="s">
        <v>322</v>
      </c>
      <c r="E13" s="163" t="str">
        <f>HYPERLINK('DEPUIS JANVIER'!A55,'DEPUIS JANVIER'!C55)</f>
        <v>Tubes, tuyaux en matière plastique</v>
      </c>
    </row>
    <row r="14" spans="1:6">
      <c r="A14" s="135" t="s">
        <v>30</v>
      </c>
      <c r="B14" s="194" t="str">
        <f>HYPERLINK('DEPUIS JANVIER'!A18,'DEPUIS JANVIER'!C18)</f>
        <v>Fabrication et mise en œuvre d’enrobés </v>
      </c>
      <c r="D14" s="135" t="s">
        <v>283</v>
      </c>
      <c r="E14" s="163" t="str">
        <f>HYPERLINK('DEPUIS JANVIER'!A56,'DEPUIS JANVIER'!C56)</f>
        <v>Ensemble des produits du sciage</v>
      </c>
    </row>
    <row r="15" spans="1:6">
      <c r="A15" s="135" t="s">
        <v>31</v>
      </c>
      <c r="B15" s="194" t="str">
        <f>HYPERLINK('DEPUIS JANVIER'!A19,'DEPUIS JANVIER'!C19)</f>
        <v>Canalisations sans fourniture de tuyaux</v>
      </c>
      <c r="D15" s="143" t="s">
        <v>323</v>
      </c>
      <c r="E15" s="163" t="str">
        <f>HYPERLINK('DEPUIS JANVIER'!A57,'DEPUIS JANVIER'!C57)</f>
        <v>Béton prêt à l'emploi</v>
      </c>
    </row>
    <row r="16" spans="1:6">
      <c r="A16" s="135" t="s">
        <v>32</v>
      </c>
      <c r="B16" s="194" t="str">
        <f>HYPERLINK('DEPUIS JANVIER'!A20,'DEPUIS JANVIER'!C20)</f>
        <v>Réhabilitation de canalisations non visitables</v>
      </c>
      <c r="D16" s="143" t="s">
        <v>324</v>
      </c>
      <c r="E16" s="163" t="str">
        <f>HYPERLINK('DEPUIS JANVIER'!A58,'DEPUIS JANVIER'!C58)</f>
        <v>Barres crénelées ou nervurées pour béton armé</v>
      </c>
    </row>
    <row r="17" spans="1:5">
      <c r="A17" s="135" t="s">
        <v>33</v>
      </c>
      <c r="B17" s="194" t="str">
        <f>HYPERLINK('DEPUIS JANVIER'!A21,'DEPUIS JANVIER'!C21)</f>
        <v>Réseaux de chauffage et de froid avec fourniture de tuyaux</v>
      </c>
      <c r="D17" s="143" t="s">
        <v>319</v>
      </c>
      <c r="E17" s="163" t="str">
        <f>HYPERLINK('DEPUIS JANVIER'!A59,'DEPUIS JANVIER'!C59)</f>
        <v>Sables et granulats</v>
      </c>
    </row>
    <row r="18" spans="1:5">
      <c r="A18" s="135" t="s">
        <v>269</v>
      </c>
      <c r="B18" s="194" t="str">
        <f>HYPERLINK('DEPUIS JANVIER'!A22,'DEPUIS JANVIER'!C22)</f>
        <v>Canalisations, assainnissement et adduction d'eau avec fourniture de tuyaux en fonte majoritaire</v>
      </c>
      <c r="D18" s="143" t="s">
        <v>325</v>
      </c>
      <c r="E18" s="163" t="str">
        <f>HYPERLINK('DEPUIS JANVIER'!A60,'DEPUIS JANVIER'!C60)</f>
        <v>Plaques, feuilles, tubes et profilés en matières plastiques</v>
      </c>
    </row>
    <row r="19" spans="1:5">
      <c r="A19" s="135" t="s">
        <v>270</v>
      </c>
      <c r="B19" s="194" t="str">
        <f>HYPERLINK('DEPUIS JANVIER'!A23,'DEPUIS JANVIER'!C23)</f>
        <v>Canalisations, assainnissement et adduction d'eau avec fourniture de tuyaux avec fourniture de tuyaux multi-matériaux</v>
      </c>
      <c r="D19" s="143" t="s">
        <v>326</v>
      </c>
      <c r="E19" s="163" t="str">
        <f>HYPERLINK('DEPUIS JANVIER'!A61,'DEPUIS JANVIER'!C61)</f>
        <v>Ciment, chaux et plâtre</v>
      </c>
    </row>
    <row r="20" spans="1:5">
      <c r="A20" s="135" t="s">
        <v>34</v>
      </c>
      <c r="B20" s="194" t="str">
        <f>HYPERLINK('DEPUIS JANVIER'!A24,'DEPUIS JANVIER'!C24)</f>
        <v>Canalisations grandes distances de transport / transfert  avec fourniture de tuyaux</v>
      </c>
      <c r="D20" s="143" t="s">
        <v>327</v>
      </c>
      <c r="E20" s="163" t="str">
        <f>HYPERLINK('DEPUIS JANVIER'!A62,'DEPUIS JANVIER'!C62)</f>
        <v>Autres produits chimiques</v>
      </c>
    </row>
    <row r="21" spans="1:5">
      <c r="A21" s="135" t="s">
        <v>35</v>
      </c>
      <c r="B21" s="194" t="str">
        <f>HYPERLINK('DEPUIS JANVIER'!A25,'DEPUIS JANVIER'!C25)</f>
        <v>Réseaux d'énergie et de communication</v>
      </c>
      <c r="D21" s="143" t="s">
        <v>328</v>
      </c>
      <c r="E21" s="163" t="str">
        <f>HYPERLINK('DEPUIS JANVIER'!A63,'DEPUIS JANVIER'!C63)</f>
        <v>Acier pour la construction</v>
      </c>
    </row>
    <row r="22" spans="1:5">
      <c r="A22" s="135" t="s">
        <v>36</v>
      </c>
      <c r="B22" s="194" t="str">
        <f>HYPERLINK('DEPUIS JANVIER'!A26,'DEPUIS JANVIER'!C26)</f>
        <v>Éclairage public -Travaux d'installation</v>
      </c>
      <c r="D22" s="143" t="s">
        <v>329</v>
      </c>
      <c r="E22" s="163" t="str">
        <f>HYPERLINK('DEPUIS JANVIER'!A64,'DEPUIS JANVIER'!C64)</f>
        <v>Bitume</v>
      </c>
    </row>
    <row r="23" spans="1:5">
      <c r="A23" s="135" t="s">
        <v>37</v>
      </c>
      <c r="B23" s="194" t="str">
        <f>HYPERLINK('DEPUIS JANVIER'!A27,'DEPUIS JANVIER'!C27)</f>
        <v>Éclairage public - Travaux  de maintenance</v>
      </c>
      <c r="D23" s="143" t="s">
        <v>330</v>
      </c>
      <c r="E23" s="163" t="str">
        <f>HYPERLINK('DEPUIS JANVIER'!A65,'DEPUIS JANVIER'!C65)</f>
        <v>Produits de voierie en béton</v>
      </c>
    </row>
    <row r="24" spans="1:5">
      <c r="A24" s="135" t="s">
        <v>38</v>
      </c>
      <c r="B24" s="194" t="str">
        <f>HYPERLINK('DEPUIS JANVIER'!A28,'DEPUIS JANVIER'!C28)</f>
        <v>Réseaux de communication en fibre optique</v>
      </c>
      <c r="D24" s="143" t="s">
        <v>331</v>
      </c>
      <c r="E24" s="163" t="str">
        <f>HYPERLINK('DEPUIS JANVIER'!A66,'DEPUIS JANVIER'!C66)</f>
        <v>Mortiers et bétons secs</v>
      </c>
    </row>
    <row r="25" spans="1:5">
      <c r="A25" s="135" t="s">
        <v>271</v>
      </c>
      <c r="B25" s="194" t="str">
        <f>HYPERLINK('DEPUIS JANVIER'!A29,'DEPUIS JANVIER'!C29)</f>
        <v>Charpentes et ouvrages d'art métalliques</v>
      </c>
      <c r="D25" s="143" t="s">
        <v>332</v>
      </c>
      <c r="E25" s="163" t="str">
        <f>HYPERLINK('DEPUIS JANVIER'!A67,'DEPUIS JANVIER'!C67)</f>
        <v>Travaux de fonderie de fonte</v>
      </c>
    </row>
    <row r="26" spans="1:5">
      <c r="A26" s="135" t="s">
        <v>272</v>
      </c>
      <c r="B26" s="194" t="str">
        <f>HYPERLINK('DEPUIS JANVIER'!A30,'DEPUIS JANVIER'!C30)</f>
        <v>Charpentes et ouvrages d'art métalliques sans fourniture des aciers</v>
      </c>
      <c r="D26" s="143" t="s">
        <v>333</v>
      </c>
      <c r="E26" s="163" t="str">
        <f>HYPERLINK('DEPUIS JANVIER'!A68,'DEPUIS JANVIER'!C68)</f>
        <v>Tuiles, briques et produits de construction en terre cuite</v>
      </c>
    </row>
    <row r="27" spans="1:5">
      <c r="D27" s="143" t="s">
        <v>334</v>
      </c>
      <c r="E27" s="163" t="str">
        <f>HYPERLINK('DEPUIS JANVIER'!A69,'DEPUIS JANVIER'!C69)</f>
        <v>Réseaux d’assainissement</v>
      </c>
    </row>
    <row r="28" spans="1:5">
      <c r="D28" s="143" t="s">
        <v>335</v>
      </c>
      <c r="E28" s="163" t="str">
        <f>HYPERLINK('DEPUIS JANVIER'!A70,'DEPUIS JANVIER'!C70)</f>
        <v>Autres textiles</v>
      </c>
    </row>
    <row r="29" spans="1:5">
      <c r="D29" s="143" t="s">
        <v>336</v>
      </c>
      <c r="E29" s="163" t="str">
        <f>HYPERLINK('DEPUIS JANVIER'!A71,'DEPUIS JANVIER'!C71)</f>
        <v>Matières plastiques sous formes primaires</v>
      </c>
    </row>
    <row r="30" spans="1:5">
      <c r="D30" s="143" t="s">
        <v>337</v>
      </c>
      <c r="E30" s="163" t="str">
        <f>HYPERLINK('DEPUIS JANVIER'!A72,'DEPUIS JANVIER'!C72)</f>
        <v>Tubes, tuyaux, profilés creux et accessoires correspondants en acier</v>
      </c>
    </row>
    <row r="31" spans="1:5">
      <c r="D31" s="143" t="s">
        <v>338</v>
      </c>
      <c r="E31" s="163" t="str">
        <f>HYPERLINK('DEPUIS JANVIER'!A73,'DEPUIS JANVIER'!C73)</f>
        <v>Éléments en béton pour la construction</v>
      </c>
    </row>
    <row r="32" spans="1:5">
      <c r="D32" s="143" t="s">
        <v>339</v>
      </c>
      <c r="E32" s="163" t="str">
        <f>HYPERLINK('DEPUIS JANVIER'!A74,'DEPUIS JANVIER'!C74)</f>
        <v>Fils et câbles d'énergie</v>
      </c>
    </row>
    <row r="33" spans="4:5">
      <c r="D33" s="143" t="s">
        <v>340</v>
      </c>
      <c r="E33" s="163" t="str">
        <f>HYPERLINK('DEPUIS JANVIER'!A75,'DEPUIS JANVIER'!C75)</f>
        <v>Moteurs, génératrices, transfo. électr., matér. distrib., cmde électr.</v>
      </c>
    </row>
    <row r="34" spans="4:5">
      <c r="D34" s="143" t="s">
        <v>341</v>
      </c>
      <c r="E34" s="163" t="str">
        <f>HYPERLINK('DEPUIS JANVIER'!A76,'DEPUIS JANVIER'!C76)</f>
        <v>Matériel de distribution et de commande électrique</v>
      </c>
    </row>
    <row r="35" spans="4:5">
      <c r="D35" s="143" t="s">
        <v>342</v>
      </c>
      <c r="E35" s="163" t="str">
        <f>HYPERLINK('DEPUIS JANVIER'!A77,'DEPUIS JANVIER'!C77)</f>
        <v>Appareils d'éclairage électrique</v>
      </c>
    </row>
    <row r="36" spans="4:5">
      <c r="D36" s="143" t="s">
        <v>343</v>
      </c>
      <c r="E36" s="163" t="str">
        <f>HYPERLINK('DEPUIS JANVIER'!A78,'DEPUIS JANVIER'!C78)</f>
        <v>Câbles de fibres optiques</v>
      </c>
    </row>
    <row r="37" spans="4:5">
      <c r="D37" s="143" t="s">
        <v>344</v>
      </c>
      <c r="E37" s="163" t="str">
        <f>HYPERLINK('DEPUIS JANVIER'!A79,'DEPUIS JANVIER'!C79)</f>
        <v>Peintures Industries</v>
      </c>
    </row>
    <row r="38" spans="4:5">
      <c r="D38" s="143" t="s">
        <v>345</v>
      </c>
      <c r="E38" s="163" t="str">
        <f>HYPERLINK('DEPUIS JANVIER'!A80,'DEPUIS JANVIER'!C80)</f>
        <v>Produits sidérurgiques en acier non allié</v>
      </c>
    </row>
    <row r="39" spans="4:5">
      <c r="D39" s="143" t="s">
        <v>346</v>
      </c>
      <c r="E39" s="163" t="str">
        <f>HYPERLINK('DEPUIS JANVIER'!A81,'DEPUIS JANVIER'!C81)</f>
        <v>Tôles quarto et autres produits plats en aciers non alliés de qualité</v>
      </c>
    </row>
    <row r="40" spans="4:5">
      <c r="D40" s="143" t="s">
        <v>347</v>
      </c>
      <c r="E40" s="163" t="str">
        <f>HYPERLINK('DEPUIS JANVIER'!A82,'DEPUIS JANVIER'!C82)</f>
        <v>Traitement et élimination des déchets non dangereux</v>
      </c>
    </row>
    <row r="41" spans="4:5">
      <c r="D41" s="143" t="s">
        <v>348</v>
      </c>
      <c r="E41" s="163" t="str">
        <f>HYPERLINK('DEPUIS JANVIER'!A83,'DEPUIS JANVIER'!C83)</f>
        <v>Collecte, traitement et élimination des déchets ; récupération de matériaux</v>
      </c>
    </row>
  </sheetData>
  <mergeCells count="2">
    <mergeCell ref="A1:B1"/>
    <mergeCell ref="D1:E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3E0AD-CB59-4A33-8E54-0145108F3DDE}">
  <sheetPr codeName="Feuil5">
    <tabColor rgb="FFFFC000"/>
  </sheetPr>
  <dimension ref="A1:BD1048576"/>
  <sheetViews>
    <sheetView topLeftCell="A3" zoomScale="80" zoomScaleNormal="80" workbookViewId="0">
      <pane xSplit="1" ySplit="3" topLeftCell="O101" activePane="bottomRight" state="frozen"/>
      <selection activeCell="B21" sqref="B21"/>
      <selection pane="topRight" activeCell="B21" sqref="B21"/>
      <selection pane="bottomLeft" activeCell="B21" sqref="B21"/>
      <selection pane="bottomRight" activeCell="U121" sqref="U121"/>
    </sheetView>
  </sheetViews>
  <sheetFormatPr baseColWidth="10" defaultRowHeight="15"/>
  <cols>
    <col min="5" max="5" width="21.42578125" style="21" bestFit="1" customWidth="1"/>
    <col min="11" max="11" width="13.140625" bestFit="1" customWidth="1"/>
    <col min="12" max="12" width="13.140625" customWidth="1"/>
  </cols>
  <sheetData>
    <row r="1" spans="1:56">
      <c r="A1" s="199"/>
      <c r="B1" s="197" t="s">
        <v>43</v>
      </c>
      <c r="C1" s="197" t="s">
        <v>44</v>
      </c>
      <c r="D1" s="197" t="s">
        <v>44</v>
      </c>
      <c r="E1" s="197"/>
      <c r="F1" s="199" t="s">
        <v>45</v>
      </c>
      <c r="G1" s="197" t="s">
        <v>43</v>
      </c>
      <c r="H1" s="197" t="s">
        <v>43</v>
      </c>
      <c r="I1" s="199"/>
      <c r="J1" s="197"/>
      <c r="K1" s="197" t="s">
        <v>46</v>
      </c>
      <c r="L1" s="197"/>
      <c r="M1" s="199"/>
      <c r="N1" s="199"/>
      <c r="O1" s="199"/>
      <c r="P1" s="199"/>
      <c r="Q1" s="199"/>
      <c r="R1" s="199"/>
      <c r="S1" s="199"/>
      <c r="T1" s="199" t="s">
        <v>45</v>
      </c>
      <c r="U1" s="199" t="s">
        <v>45</v>
      </c>
      <c r="V1" s="199" t="s">
        <v>45</v>
      </c>
      <c r="W1" s="199" t="s">
        <v>45</v>
      </c>
      <c r="X1" s="199" t="s">
        <v>45</v>
      </c>
      <c r="Y1" s="199" t="s">
        <v>45</v>
      </c>
      <c r="Z1" s="199"/>
      <c r="AA1" s="199" t="s">
        <v>45</v>
      </c>
      <c r="AB1" s="199" t="s">
        <v>45</v>
      </c>
      <c r="AC1" s="199" t="s">
        <v>45</v>
      </c>
      <c r="AD1" s="199" t="s">
        <v>45</v>
      </c>
      <c r="AE1" s="199" t="s">
        <v>45</v>
      </c>
      <c r="AF1" s="199" t="s">
        <v>45</v>
      </c>
      <c r="AG1" s="199"/>
      <c r="AH1" s="199"/>
      <c r="AI1" s="199"/>
      <c r="AJ1" s="199"/>
      <c r="AK1" s="199"/>
      <c r="AL1" s="199"/>
      <c r="AM1" s="199"/>
      <c r="AN1" s="199"/>
    </row>
    <row r="2" spans="1:56" ht="30">
      <c r="A2" s="199"/>
      <c r="B2" s="32" t="s">
        <v>47</v>
      </c>
      <c r="C2" s="32" t="s">
        <v>48</v>
      </c>
      <c r="D2" s="32" t="s">
        <v>49</v>
      </c>
      <c r="E2" s="32"/>
      <c r="F2" s="32" t="s">
        <v>50</v>
      </c>
      <c r="G2" s="32" t="s">
        <v>51</v>
      </c>
      <c r="H2" s="32" t="s">
        <v>52</v>
      </c>
      <c r="I2" s="32"/>
      <c r="J2" s="33"/>
      <c r="K2" s="32" t="s">
        <v>55</v>
      </c>
      <c r="L2" s="32"/>
      <c r="M2" s="32"/>
      <c r="N2" s="32"/>
      <c r="O2" s="32"/>
      <c r="P2" s="32"/>
      <c r="Q2" s="32"/>
      <c r="R2" s="32"/>
      <c r="S2" s="32"/>
      <c r="T2" s="32" t="s">
        <v>62</v>
      </c>
      <c r="U2" s="32" t="s">
        <v>63</v>
      </c>
      <c r="V2" s="32" t="s">
        <v>64</v>
      </c>
      <c r="W2" s="32" t="s">
        <v>65</v>
      </c>
      <c r="X2" s="32" t="s">
        <v>66</v>
      </c>
      <c r="Y2" s="32" t="s">
        <v>67</v>
      </c>
      <c r="Z2" s="32"/>
      <c r="AA2" s="32" t="s">
        <v>68</v>
      </c>
      <c r="AB2" s="32" t="s">
        <v>69</v>
      </c>
      <c r="AC2" s="32" t="s">
        <v>70</v>
      </c>
      <c r="AD2" s="32" t="s">
        <v>71</v>
      </c>
      <c r="AE2" s="32" t="s">
        <v>72</v>
      </c>
      <c r="AF2" s="32" t="s">
        <v>73</v>
      </c>
      <c r="AG2" s="32"/>
      <c r="AH2" s="32"/>
      <c r="AI2" s="32"/>
      <c r="AJ2" s="32"/>
      <c r="AK2" s="32"/>
      <c r="AL2" s="32"/>
      <c r="AM2" s="32"/>
      <c r="AN2" s="32"/>
    </row>
    <row r="3" spans="1:56" ht="30">
      <c r="A3" s="199"/>
      <c r="B3" s="32" t="s">
        <v>47</v>
      </c>
      <c r="C3" s="32" t="s">
        <v>48</v>
      </c>
      <c r="D3" s="32" t="s">
        <v>355</v>
      </c>
      <c r="E3" s="32" t="s">
        <v>317</v>
      </c>
      <c r="F3" s="32" t="s">
        <v>358</v>
      </c>
      <c r="G3" s="32" t="s">
        <v>51</v>
      </c>
      <c r="H3" s="32" t="s">
        <v>52</v>
      </c>
      <c r="I3" s="186">
        <v>10764291</v>
      </c>
      <c r="J3" s="186">
        <v>10764297</v>
      </c>
      <c r="K3" s="32" t="s">
        <v>55</v>
      </c>
      <c r="L3" s="32">
        <v>10763845</v>
      </c>
      <c r="M3" s="186" t="s">
        <v>283</v>
      </c>
      <c r="N3" s="186">
        <v>10764180</v>
      </c>
      <c r="O3" s="186">
        <v>10766236</v>
      </c>
      <c r="P3" s="186">
        <v>10765500</v>
      </c>
      <c r="Q3" s="32">
        <v>10764160</v>
      </c>
      <c r="R3" s="32">
        <v>10764176</v>
      </c>
      <c r="S3" s="32">
        <v>10764149</v>
      </c>
      <c r="T3" s="32">
        <v>10765837</v>
      </c>
      <c r="U3" s="32">
        <v>10764136</v>
      </c>
      <c r="V3" s="32">
        <v>10763871</v>
      </c>
      <c r="W3" s="32">
        <v>10764181</v>
      </c>
      <c r="X3" s="32">
        <v>10764195</v>
      </c>
      <c r="Y3" s="32">
        <v>10764172</v>
      </c>
      <c r="Z3" s="32">
        <v>10766292</v>
      </c>
      <c r="AA3" s="32">
        <v>10764101</v>
      </c>
      <c r="AB3" s="32">
        <v>10764143</v>
      </c>
      <c r="AC3" s="32">
        <v>10764187</v>
      </c>
      <c r="AD3" s="32">
        <v>10764179</v>
      </c>
      <c r="AE3" s="32">
        <v>10763930</v>
      </c>
      <c r="AF3" s="32">
        <v>10764223</v>
      </c>
      <c r="AG3" s="32">
        <v>10764224</v>
      </c>
      <c r="AH3" s="32">
        <v>10764228</v>
      </c>
      <c r="AI3" s="32">
        <v>10764834</v>
      </c>
      <c r="AJ3" s="32">
        <v>10763825</v>
      </c>
      <c r="AK3" s="32">
        <v>10763881</v>
      </c>
      <c r="AL3" s="32">
        <v>10765839</v>
      </c>
      <c r="AM3" s="32">
        <v>10764306</v>
      </c>
      <c r="AN3" s="32">
        <v>10764301</v>
      </c>
    </row>
    <row r="4" spans="1:56">
      <c r="A4" s="21"/>
      <c r="B4" s="34" t="s">
        <v>84</v>
      </c>
      <c r="C4" s="33"/>
      <c r="D4" s="34" t="s">
        <v>354</v>
      </c>
      <c r="E4" s="34" t="s">
        <v>279</v>
      </c>
      <c r="F4" s="221" t="s">
        <v>357</v>
      </c>
      <c r="G4" s="34" t="s">
        <v>87</v>
      </c>
      <c r="H4" s="34" t="s">
        <v>88</v>
      </c>
      <c r="I4" s="34" t="s">
        <v>280</v>
      </c>
      <c r="J4" s="158" t="s">
        <v>281</v>
      </c>
      <c r="K4" s="34" t="s">
        <v>90</v>
      </c>
      <c r="L4" s="34" t="s">
        <v>282</v>
      </c>
      <c r="M4" s="34" t="s">
        <v>284</v>
      </c>
      <c r="N4" s="34" t="s">
        <v>285</v>
      </c>
      <c r="O4" s="34" t="s">
        <v>286</v>
      </c>
      <c r="P4" s="34" t="s">
        <v>287</v>
      </c>
      <c r="Q4" s="34" t="s">
        <v>288</v>
      </c>
      <c r="R4" s="34" t="s">
        <v>289</v>
      </c>
      <c r="S4" s="34" t="s">
        <v>290</v>
      </c>
      <c r="T4" s="34" t="s">
        <v>291</v>
      </c>
      <c r="U4" s="34" t="s">
        <v>292</v>
      </c>
      <c r="V4" s="34" t="s">
        <v>293</v>
      </c>
      <c r="W4" s="34" t="s">
        <v>294</v>
      </c>
      <c r="X4" s="34" t="s">
        <v>295</v>
      </c>
      <c r="Y4" s="34" t="s">
        <v>296</v>
      </c>
      <c r="Z4" s="158" t="s">
        <v>297</v>
      </c>
      <c r="AA4" s="34" t="s">
        <v>298</v>
      </c>
      <c r="AB4" s="34" t="s">
        <v>299</v>
      </c>
      <c r="AC4" s="34" t="s">
        <v>300</v>
      </c>
      <c r="AD4" s="158" t="s">
        <v>301</v>
      </c>
      <c r="AE4" s="34" t="s">
        <v>302</v>
      </c>
      <c r="AF4" s="34" t="s">
        <v>303</v>
      </c>
      <c r="AG4" s="34" t="s">
        <v>304</v>
      </c>
      <c r="AH4" s="34" t="s">
        <v>318</v>
      </c>
      <c r="AI4" s="34" t="s">
        <v>305</v>
      </c>
      <c r="AJ4" s="34" t="s">
        <v>306</v>
      </c>
      <c r="AK4" s="34" t="s">
        <v>307</v>
      </c>
      <c r="AL4" s="34" t="s">
        <v>308</v>
      </c>
      <c r="AM4" s="34" t="s">
        <v>309</v>
      </c>
      <c r="AN4" s="34" t="s">
        <v>310</v>
      </c>
    </row>
    <row r="5" spans="1:56" s="21" customFormat="1" ht="135">
      <c r="A5" s="199"/>
      <c r="B5" s="185" t="s">
        <v>115</v>
      </c>
      <c r="C5" s="185" t="s">
        <v>116</v>
      </c>
      <c r="D5" s="185" t="s">
        <v>117</v>
      </c>
      <c r="E5" s="28" t="s">
        <v>316</v>
      </c>
      <c r="F5" s="185" t="s">
        <v>118</v>
      </c>
      <c r="G5" s="185" t="s">
        <v>119</v>
      </c>
      <c r="H5" s="185" t="s">
        <v>120</v>
      </c>
      <c r="I5" s="28" t="s">
        <v>121</v>
      </c>
      <c r="J5" s="28" t="s">
        <v>263</v>
      </c>
      <c r="K5" s="199" t="s">
        <v>55</v>
      </c>
      <c r="L5" s="28" t="s">
        <v>122</v>
      </c>
      <c r="M5" s="28" t="s">
        <v>123</v>
      </c>
      <c r="N5" s="28" t="s">
        <v>124</v>
      </c>
      <c r="O5" s="28" t="s">
        <v>125</v>
      </c>
      <c r="P5" s="28" t="s">
        <v>126</v>
      </c>
      <c r="Q5" s="28" t="s">
        <v>127</v>
      </c>
      <c r="R5" s="28" t="s">
        <v>128</v>
      </c>
      <c r="S5" s="28" t="s">
        <v>258</v>
      </c>
      <c r="T5" s="28" t="s">
        <v>129</v>
      </c>
      <c r="U5" s="28" t="s">
        <v>130</v>
      </c>
      <c r="V5" s="28" t="s">
        <v>131</v>
      </c>
      <c r="W5" s="28" t="s">
        <v>132</v>
      </c>
      <c r="X5" s="28" t="s">
        <v>133</v>
      </c>
      <c r="Y5" s="28" t="s">
        <v>134</v>
      </c>
      <c r="Z5" s="28" t="s">
        <v>266</v>
      </c>
      <c r="AA5" s="28" t="s">
        <v>261</v>
      </c>
      <c r="AB5" s="28" t="s">
        <v>135</v>
      </c>
      <c r="AC5" s="28" t="s">
        <v>136</v>
      </c>
      <c r="AD5" s="28" t="s">
        <v>137</v>
      </c>
      <c r="AE5" s="28" t="s">
        <v>138</v>
      </c>
      <c r="AF5" s="28" t="s">
        <v>139</v>
      </c>
      <c r="AG5" s="28" t="s">
        <v>140</v>
      </c>
      <c r="AH5" s="28" t="s">
        <v>141</v>
      </c>
      <c r="AI5" s="28" t="s">
        <v>142</v>
      </c>
      <c r="AJ5" s="28" t="s">
        <v>143</v>
      </c>
      <c r="AK5" s="28" t="s">
        <v>144</v>
      </c>
      <c r="AL5" s="28" t="s">
        <v>145</v>
      </c>
      <c r="AM5" s="28" t="s">
        <v>148</v>
      </c>
      <c r="AN5" s="28" t="s">
        <v>149</v>
      </c>
    </row>
    <row r="6" spans="1:56" ht="15" customHeight="1">
      <c r="A6" s="1">
        <v>43009</v>
      </c>
      <c r="B6">
        <v>103.7</v>
      </c>
      <c r="C6">
        <v>116.9</v>
      </c>
      <c r="D6">
        <v>114.5</v>
      </c>
      <c r="E6" s="198">
        <v>115.91319221955121</v>
      </c>
      <c r="F6">
        <v>77.72</v>
      </c>
      <c r="G6">
        <v>101.4</v>
      </c>
      <c r="H6">
        <v>105</v>
      </c>
      <c r="I6">
        <v>77.915753591429265</v>
      </c>
      <c r="J6" s="29">
        <v>41.64822736883513</v>
      </c>
      <c r="K6" s="29">
        <v>100</v>
      </c>
      <c r="L6" s="29">
        <v>86.632142543667172</v>
      </c>
      <c r="M6">
        <v>79.900000000000006</v>
      </c>
      <c r="N6">
        <v>93.250611017108469</v>
      </c>
      <c r="P6">
        <v>94.917859544624847</v>
      </c>
      <c r="Q6">
        <v>88.626552726632013</v>
      </c>
      <c r="R6">
        <v>93.20425208807896</v>
      </c>
      <c r="S6">
        <v>79.83493373541782</v>
      </c>
      <c r="V6">
        <v>89.191163045462858</v>
      </c>
      <c r="W6">
        <v>95.720609936055098</v>
      </c>
      <c r="X6">
        <v>92.134158514673587</v>
      </c>
      <c r="Y6">
        <v>95.986205575246672</v>
      </c>
      <c r="Z6">
        <v>89.572527200513079</v>
      </c>
      <c r="AA6">
        <v>93.16145547632108</v>
      </c>
      <c r="AB6">
        <v>78.239793986215247</v>
      </c>
      <c r="AC6">
        <v>91.32817256675655</v>
      </c>
      <c r="AD6">
        <v>91.954022988505741</v>
      </c>
      <c r="AE6">
        <v>84.474094610985972</v>
      </c>
      <c r="AF6">
        <v>95.693327023189767</v>
      </c>
      <c r="AG6">
        <v>94.399999999999991</v>
      </c>
      <c r="AH6">
        <v>99.762959909306389</v>
      </c>
      <c r="AI6">
        <v>102.52198280027056</v>
      </c>
      <c r="AJ6">
        <v>90.49106368211001</v>
      </c>
      <c r="AK6">
        <v>82.682624242866524</v>
      </c>
      <c r="AM6">
        <v>89.745762711864415</v>
      </c>
      <c r="AN6">
        <v>87.312299645689222</v>
      </c>
    </row>
    <row r="7" spans="1:56" ht="15" customHeight="1">
      <c r="A7" s="1">
        <f>EDATE(A6,1)</f>
        <v>43040</v>
      </c>
      <c r="B7">
        <v>103.5</v>
      </c>
      <c r="C7">
        <v>117.3</v>
      </c>
      <c r="D7">
        <v>114.7</v>
      </c>
      <c r="E7" s="198">
        <v>112.19462051681585</v>
      </c>
      <c r="F7">
        <v>79.58</v>
      </c>
      <c r="G7">
        <v>101.1</v>
      </c>
      <c r="H7">
        <v>105</v>
      </c>
      <c r="I7">
        <v>83.272461650840029</v>
      </c>
      <c r="J7" s="29">
        <v>45.041058169838223</v>
      </c>
      <c r="K7" s="29">
        <v>109.16469394656747</v>
      </c>
      <c r="L7" s="29">
        <v>86.895462125866757</v>
      </c>
      <c r="M7">
        <v>80</v>
      </c>
      <c r="N7">
        <v>93.156608385034772</v>
      </c>
      <c r="P7">
        <v>95.013930252665972</v>
      </c>
      <c r="Q7">
        <v>89.155140516254079</v>
      </c>
      <c r="R7">
        <v>93.20425208807896</v>
      </c>
      <c r="S7">
        <v>79.83493373541782</v>
      </c>
      <c r="V7">
        <v>88.734708782180036</v>
      </c>
      <c r="W7">
        <v>95.622233152975909</v>
      </c>
      <c r="X7">
        <v>91.734877221002193</v>
      </c>
      <c r="Y7">
        <v>95.507232493533863</v>
      </c>
      <c r="Z7">
        <v>89.396722436625907</v>
      </c>
      <c r="AA7">
        <v>93.618577436460043</v>
      </c>
      <c r="AB7">
        <v>77.709611451942735</v>
      </c>
      <c r="AC7">
        <v>90.197442811168131</v>
      </c>
      <c r="AD7">
        <v>91.384060036097665</v>
      </c>
      <c r="AE7">
        <v>84.647374805059798</v>
      </c>
      <c r="AF7">
        <v>95.693327023189767</v>
      </c>
      <c r="AG7">
        <v>94.399999999999991</v>
      </c>
      <c r="AH7">
        <v>99.55683809131196</v>
      </c>
      <c r="AI7">
        <v>102.42535510677361</v>
      </c>
      <c r="AJ7">
        <v>90.230782578518131</v>
      </c>
      <c r="AK7">
        <v>80.274392468802446</v>
      </c>
      <c r="AM7">
        <v>89.322033898305094</v>
      </c>
      <c r="AN7">
        <v>88.155896743715203</v>
      </c>
    </row>
    <row r="8" spans="1:56">
      <c r="A8" s="1">
        <f t="shared" ref="A8:A71" si="0">EDATE(A7,1)</f>
        <v>43070</v>
      </c>
      <c r="B8">
        <v>103.6</v>
      </c>
      <c r="C8">
        <v>117.8</v>
      </c>
      <c r="D8">
        <v>114.9</v>
      </c>
      <c r="E8" s="198">
        <v>111.78477715419734</v>
      </c>
      <c r="F8">
        <v>79.92</v>
      </c>
      <c r="G8">
        <v>101.9</v>
      </c>
      <c r="H8">
        <v>105.6</v>
      </c>
      <c r="I8">
        <v>86.843600357113871</v>
      </c>
      <c r="J8" s="29">
        <v>48.335546049073116</v>
      </c>
      <c r="K8" s="29">
        <v>108.1501521812648</v>
      </c>
      <c r="L8" s="29">
        <v>86.544369349600629</v>
      </c>
      <c r="M8">
        <v>80</v>
      </c>
      <c r="N8">
        <v>92.874600488813684</v>
      </c>
      <c r="P8">
        <v>94.821788836583735</v>
      </c>
      <c r="Q8">
        <v>89.067042551317058</v>
      </c>
      <c r="R8">
        <v>92.634776006074404</v>
      </c>
      <c r="S8">
        <v>79.914292516466944</v>
      </c>
      <c r="V8">
        <v>88.55212707686691</v>
      </c>
      <c r="W8">
        <v>94.441711756025583</v>
      </c>
      <c r="X8">
        <v>90.437213016570169</v>
      </c>
      <c r="Y8">
        <v>94.645080946450804</v>
      </c>
      <c r="Z8">
        <v>92.297501040764203</v>
      </c>
      <c r="AA8">
        <v>93.16145547632108</v>
      </c>
      <c r="AB8">
        <v>78.391274710293118</v>
      </c>
      <c r="AC8">
        <v>90.719318082978177</v>
      </c>
      <c r="AD8">
        <v>91.289066210696305</v>
      </c>
      <c r="AE8">
        <v>85.253855484318152</v>
      </c>
      <c r="AF8">
        <v>95.882631329862747</v>
      </c>
      <c r="AG8">
        <v>94.211764705882345</v>
      </c>
      <c r="AH8">
        <v>99.866020818303625</v>
      </c>
      <c r="AI8">
        <v>102.2320997197797</v>
      </c>
      <c r="AJ8">
        <v>90.144022210654171</v>
      </c>
      <c r="AK8">
        <v>81.952857038604677</v>
      </c>
      <c r="AM8">
        <v>88.13559322033899</v>
      </c>
      <c r="AN8">
        <v>86.890501096676232</v>
      </c>
      <c r="AR8" s="200"/>
      <c r="AS8" s="200"/>
      <c r="AT8" s="200"/>
      <c r="AU8" s="200"/>
      <c r="AV8" s="200"/>
      <c r="AW8" s="200"/>
      <c r="AX8" s="200"/>
      <c r="AY8" s="200"/>
      <c r="AZ8" s="200"/>
      <c r="BA8" s="200"/>
      <c r="BB8" s="200"/>
      <c r="BC8" s="200"/>
      <c r="BD8" s="200"/>
    </row>
    <row r="9" spans="1:56">
      <c r="A9" s="1">
        <f t="shared" si="0"/>
        <v>43101</v>
      </c>
      <c r="B9">
        <v>104.1</v>
      </c>
      <c r="C9">
        <v>117.8</v>
      </c>
      <c r="D9">
        <v>115.1</v>
      </c>
      <c r="E9" s="198">
        <v>102.68819713409906</v>
      </c>
      <c r="F9">
        <v>86.75</v>
      </c>
      <c r="G9">
        <v>101.5</v>
      </c>
      <c r="H9">
        <v>105.6</v>
      </c>
      <c r="I9">
        <v>88.061034006979952</v>
      </c>
      <c r="J9" s="29">
        <v>48.778089197030042</v>
      </c>
      <c r="K9" s="29">
        <v>109.87487318227933</v>
      </c>
      <c r="L9" s="29">
        <v>86.7199157377337</v>
      </c>
      <c r="M9">
        <v>81.8</v>
      </c>
      <c r="N9">
        <v>93.626621545403253</v>
      </c>
      <c r="O9">
        <v>75.234002472478949</v>
      </c>
      <c r="P9">
        <v>95.110000960707083</v>
      </c>
      <c r="Q9">
        <v>89.155140516254079</v>
      </c>
      <c r="R9">
        <v>95.577069096431273</v>
      </c>
      <c r="S9">
        <v>79.120704705975712</v>
      </c>
      <c r="T9">
        <v>74.333293109689876</v>
      </c>
      <c r="U9">
        <v>75.662739322533142</v>
      </c>
      <c r="V9">
        <v>88.917290487493162</v>
      </c>
      <c r="W9">
        <v>95.720609936055098</v>
      </c>
      <c r="X9">
        <v>91.734877221002193</v>
      </c>
      <c r="Y9">
        <v>95.986205575246672</v>
      </c>
      <c r="Z9">
        <v>91.242672457441188</v>
      </c>
      <c r="AA9">
        <v>93.892850612543427</v>
      </c>
      <c r="AB9">
        <v>78.997197606604558</v>
      </c>
      <c r="AC9">
        <v>90.980255718883186</v>
      </c>
      <c r="AD9">
        <v>91.85902916310441</v>
      </c>
      <c r="AE9">
        <v>86.120256454687237</v>
      </c>
      <c r="AF9">
        <v>96.35589209654519</v>
      </c>
      <c r="AG9">
        <v>94.776470588235298</v>
      </c>
      <c r="AH9">
        <v>100.17520354529526</v>
      </c>
      <c r="AI9">
        <v>102.42535510677361</v>
      </c>
      <c r="AJ9">
        <v>90.838105153565849</v>
      </c>
      <c r="AK9">
        <v>84.580018973947304</v>
      </c>
      <c r="AL9">
        <v>68.386757059171984</v>
      </c>
      <c r="AM9">
        <v>89.745762711864415</v>
      </c>
      <c r="AN9">
        <v>87.818457904504797</v>
      </c>
    </row>
    <row r="10" spans="1:56">
      <c r="A10" s="1">
        <f t="shared" si="0"/>
        <v>43132</v>
      </c>
      <c r="B10">
        <v>103.8</v>
      </c>
      <c r="C10">
        <v>117.8</v>
      </c>
      <c r="D10">
        <v>115.3</v>
      </c>
      <c r="E10" s="198">
        <v>105.33935540778492</v>
      </c>
      <c r="F10">
        <v>86.18</v>
      </c>
      <c r="G10">
        <v>101.8</v>
      </c>
      <c r="H10">
        <v>105.6</v>
      </c>
      <c r="I10">
        <v>90.739388036685327</v>
      </c>
      <c r="J10" s="29">
        <v>48.335546049073116</v>
      </c>
      <c r="K10" s="29">
        <v>108.55596888738587</v>
      </c>
      <c r="L10" s="29">
        <v>87.422101290265942</v>
      </c>
      <c r="M10">
        <v>81.8</v>
      </c>
      <c r="N10">
        <v>93.438616281255875</v>
      </c>
      <c r="O10">
        <v>75.646082298228052</v>
      </c>
      <c r="P10">
        <v>95.49428379287157</v>
      </c>
      <c r="Q10">
        <v>89.155140516254079</v>
      </c>
      <c r="R10">
        <v>94.817767653758537</v>
      </c>
      <c r="S10">
        <v>80.787239108007299</v>
      </c>
      <c r="T10">
        <v>74.8763122963678</v>
      </c>
      <c r="U10">
        <v>76.092292587137948</v>
      </c>
      <c r="V10">
        <v>90.012780719371918</v>
      </c>
      <c r="W10">
        <v>96.114117068371868</v>
      </c>
      <c r="X10">
        <v>91.834697544420038</v>
      </c>
      <c r="Y10">
        <v>96.46517865695948</v>
      </c>
      <c r="Z10">
        <v>87.638674797754206</v>
      </c>
      <c r="AA10">
        <v>93.43572865240445</v>
      </c>
      <c r="AB10">
        <v>79.981822313110655</v>
      </c>
      <c r="AC10">
        <v>92.110985474471605</v>
      </c>
      <c r="AD10">
        <v>92.713973591716538</v>
      </c>
      <c r="AE10">
        <v>86.206896551724142</v>
      </c>
      <c r="AF10">
        <v>96.071935636535727</v>
      </c>
      <c r="AG10">
        <v>94.494117647058829</v>
      </c>
      <c r="AH10">
        <v>99.55683809131196</v>
      </c>
      <c r="AI10">
        <v>102.42535510677361</v>
      </c>
      <c r="AJ10">
        <v>91.445427728613566</v>
      </c>
      <c r="AK10">
        <v>84.798949135225854</v>
      </c>
      <c r="AL10">
        <v>68.189297702889476</v>
      </c>
      <c r="AM10">
        <v>89.491525423728817</v>
      </c>
      <c r="AN10">
        <v>87.902817614307409</v>
      </c>
    </row>
    <row r="11" spans="1:56">
      <c r="A11" s="1">
        <f t="shared" si="0"/>
        <v>43160</v>
      </c>
      <c r="B11">
        <v>104.1</v>
      </c>
      <c r="C11">
        <v>117.7</v>
      </c>
      <c r="D11">
        <v>115.4</v>
      </c>
      <c r="E11" s="198">
        <v>104.26263286528626</v>
      </c>
      <c r="F11">
        <v>85.69</v>
      </c>
      <c r="G11">
        <v>102.2</v>
      </c>
      <c r="H11">
        <v>107.6</v>
      </c>
      <c r="I11">
        <v>90.577063550036527</v>
      </c>
      <c r="J11" s="29">
        <v>49.02394650145056</v>
      </c>
      <c r="K11" s="29">
        <v>103.55089617855936</v>
      </c>
      <c r="L11" s="29">
        <v>87.948740454665156</v>
      </c>
      <c r="M11">
        <v>81.8</v>
      </c>
      <c r="N11">
        <v>94.190637337845459</v>
      </c>
      <c r="O11">
        <v>76.705716135868613</v>
      </c>
      <c r="P11">
        <v>95.49428379287157</v>
      </c>
      <c r="Q11">
        <v>89.419434411065112</v>
      </c>
      <c r="R11">
        <v>94.343204252088071</v>
      </c>
      <c r="S11">
        <v>79.914292516466944</v>
      </c>
      <c r="T11">
        <v>75.962350669723662</v>
      </c>
      <c r="U11">
        <v>73.024054982817873</v>
      </c>
      <c r="V11">
        <v>89.921489866715362</v>
      </c>
      <c r="W11">
        <v>96.802754549926206</v>
      </c>
      <c r="X11">
        <v>92.433619484927121</v>
      </c>
      <c r="Y11">
        <v>95.41143787719129</v>
      </c>
      <c r="Z11">
        <v>87.287065269979848</v>
      </c>
      <c r="AA11">
        <v>93.892850612543427</v>
      </c>
      <c r="AB11">
        <v>79.830341589032798</v>
      </c>
      <c r="AC11">
        <v>91.154214142819868</v>
      </c>
      <c r="AD11">
        <v>92.428992115512486</v>
      </c>
      <c r="AE11">
        <v>86.553456939871779</v>
      </c>
      <c r="AF11">
        <v>96.16658778987221</v>
      </c>
      <c r="AG11">
        <v>94.588235294117652</v>
      </c>
      <c r="AH11">
        <v>100.58744718128413</v>
      </c>
      <c r="AI11">
        <v>102.81186588076145</v>
      </c>
      <c r="AJ11">
        <v>92.052750303661284</v>
      </c>
      <c r="AK11">
        <v>85.528716339487701</v>
      </c>
      <c r="AL11">
        <v>68.05765813203449</v>
      </c>
      <c r="AM11">
        <v>90.169491525423737</v>
      </c>
      <c r="AN11">
        <v>88.999493841741184</v>
      </c>
    </row>
    <row r="12" spans="1:56">
      <c r="A12" s="1">
        <f t="shared" si="0"/>
        <v>43191</v>
      </c>
      <c r="B12">
        <v>104.3</v>
      </c>
      <c r="C12">
        <v>118</v>
      </c>
      <c r="D12">
        <v>115.8</v>
      </c>
      <c r="E12" s="198">
        <v>99.677793960786715</v>
      </c>
      <c r="F12">
        <v>87.57</v>
      </c>
      <c r="G12">
        <v>102.6</v>
      </c>
      <c r="H12">
        <v>107.6</v>
      </c>
      <c r="I12">
        <v>86.275464653843031</v>
      </c>
      <c r="J12" s="29">
        <v>45.827801543983874</v>
      </c>
      <c r="K12" s="29">
        <v>109.90869124112277</v>
      </c>
      <c r="L12" s="29">
        <v>87.948740454665156</v>
      </c>
      <c r="M12">
        <v>83.4</v>
      </c>
      <c r="N12">
        <v>94.942658394435043</v>
      </c>
      <c r="O12">
        <v>77.17666450815328</v>
      </c>
      <c r="P12">
        <v>96.358920165241628</v>
      </c>
      <c r="Q12">
        <v>89.243238481191085</v>
      </c>
      <c r="R12">
        <v>93.963553530751696</v>
      </c>
      <c r="S12">
        <v>80.46980398381082</v>
      </c>
      <c r="T12">
        <v>76.264027995655852</v>
      </c>
      <c r="U12">
        <v>74.312714776632305</v>
      </c>
      <c r="V12">
        <v>89.373744750775984</v>
      </c>
      <c r="W12">
        <v>97.393015248401383</v>
      </c>
      <c r="X12">
        <v>93.132361748852063</v>
      </c>
      <c r="Y12">
        <v>96.369384040616907</v>
      </c>
      <c r="Z12">
        <v>87.111260506092677</v>
      </c>
      <c r="AA12">
        <v>93.710001828487833</v>
      </c>
      <c r="AB12">
        <v>78.542755434370974</v>
      </c>
      <c r="AC12">
        <v>94.720361833521793</v>
      </c>
      <c r="AD12">
        <v>92.333998290111154</v>
      </c>
      <c r="AE12">
        <v>86.726737133945591</v>
      </c>
      <c r="AF12">
        <v>96.071935636535727</v>
      </c>
      <c r="AG12">
        <v>94.494117647058829</v>
      </c>
      <c r="AH12">
        <v>100.99969081727301</v>
      </c>
      <c r="AI12">
        <v>103.39163204174316</v>
      </c>
      <c r="AJ12">
        <v>92.660072878709002</v>
      </c>
      <c r="AK12">
        <v>84.434065533094937</v>
      </c>
      <c r="AL12">
        <v>68.584216415454478</v>
      </c>
      <c r="AM12">
        <v>90.33898305084746</v>
      </c>
      <c r="AN12">
        <v>89.083853551543783</v>
      </c>
    </row>
    <row r="13" spans="1:56">
      <c r="A13" s="1">
        <f t="shared" si="0"/>
        <v>43221</v>
      </c>
      <c r="B13">
        <v>104.5</v>
      </c>
      <c r="C13">
        <v>118.2</v>
      </c>
      <c r="D13">
        <v>116.1</v>
      </c>
      <c r="E13" s="198">
        <v>96.60957457288562</v>
      </c>
      <c r="F13">
        <v>90.81</v>
      </c>
      <c r="G13">
        <v>102.2</v>
      </c>
      <c r="H13">
        <v>107.6</v>
      </c>
      <c r="I13">
        <v>83.028974920866816</v>
      </c>
      <c r="J13" s="29">
        <v>48.532231892609531</v>
      </c>
      <c r="K13" s="29">
        <v>114.23740277308083</v>
      </c>
      <c r="L13" s="29">
        <v>88.738699201263927</v>
      </c>
      <c r="M13">
        <v>83.4</v>
      </c>
      <c r="N13">
        <v>95.694679451024612</v>
      </c>
      <c r="O13">
        <v>76.646847589333007</v>
      </c>
      <c r="P13">
        <v>96.935344413488338</v>
      </c>
      <c r="Q13">
        <v>90.300414060435202</v>
      </c>
      <c r="R13">
        <v>94.817767653758537</v>
      </c>
      <c r="S13">
        <v>82.05697960479327</v>
      </c>
      <c r="T13">
        <v>75.902015204537221</v>
      </c>
      <c r="U13">
        <v>79.774177712322043</v>
      </c>
      <c r="V13">
        <v>90.195362424685044</v>
      </c>
      <c r="W13">
        <v>97.393015248401383</v>
      </c>
      <c r="X13">
        <v>93.531643042523456</v>
      </c>
      <c r="Y13">
        <v>96.560973273302039</v>
      </c>
      <c r="Z13">
        <v>88.693503381077221</v>
      </c>
      <c r="AA13">
        <v>93.710001828487833</v>
      </c>
      <c r="AB13">
        <v>79.300159054760286</v>
      </c>
      <c r="AC13">
        <v>94.459424197616769</v>
      </c>
      <c r="AD13">
        <v>92.713973591716538</v>
      </c>
      <c r="AE13">
        <v>85.687055969502694</v>
      </c>
      <c r="AF13">
        <v>96.16658778987221</v>
      </c>
      <c r="AG13">
        <v>94.494117647058829</v>
      </c>
      <c r="AH13">
        <v>99.659899000309181</v>
      </c>
      <c r="AI13">
        <v>103.58488742873709</v>
      </c>
      <c r="AJ13">
        <v>90.924865521429808</v>
      </c>
      <c r="AK13">
        <v>85.747646500766251</v>
      </c>
      <c r="AL13">
        <v>68.847495557164478</v>
      </c>
      <c r="AM13">
        <v>91.27118644067798</v>
      </c>
      <c r="AN13">
        <v>89.590011810359371</v>
      </c>
    </row>
    <row r="14" spans="1:56">
      <c r="A14" s="1">
        <f t="shared" si="0"/>
        <v>43252</v>
      </c>
      <c r="B14">
        <v>104.6</v>
      </c>
      <c r="C14">
        <v>118.4</v>
      </c>
      <c r="D14">
        <v>116.5</v>
      </c>
      <c r="E14" s="198">
        <v>97.6111092375168</v>
      </c>
      <c r="F14">
        <v>91.66</v>
      </c>
      <c r="G14">
        <v>102.1</v>
      </c>
      <c r="H14">
        <v>108.1</v>
      </c>
      <c r="I14">
        <v>78.727376024673319</v>
      </c>
      <c r="J14" s="29">
        <v>52.564291685105964</v>
      </c>
      <c r="K14" s="29">
        <v>129.52316537030777</v>
      </c>
      <c r="L14" s="29">
        <v>87.597647678399014</v>
      </c>
      <c r="M14">
        <v>83.4</v>
      </c>
      <c r="N14">
        <v>95.60067681895093</v>
      </c>
      <c r="O14">
        <v>75.351739565550119</v>
      </c>
      <c r="P14">
        <v>96.166778749159377</v>
      </c>
      <c r="Q14">
        <v>89.68372830587613</v>
      </c>
      <c r="R14">
        <v>93.109339407744855</v>
      </c>
      <c r="S14">
        <v>81.977620823744147</v>
      </c>
      <c r="T14">
        <v>75.660673343791487</v>
      </c>
      <c r="U14">
        <v>91.372115856651945</v>
      </c>
      <c r="V14">
        <v>89.738908161402236</v>
      </c>
      <c r="W14">
        <v>97.294638465322194</v>
      </c>
      <c r="X14">
        <v>94.230385306448397</v>
      </c>
      <c r="Y14">
        <v>96.656767889644598</v>
      </c>
      <c r="Z14">
        <v>88.605600999133628</v>
      </c>
      <c r="AA14">
        <v>93.710001828487833</v>
      </c>
      <c r="AB14">
        <v>80.436264485344239</v>
      </c>
      <c r="AC14">
        <v>95.416195529268506</v>
      </c>
      <c r="AD14">
        <v>92.808967417117898</v>
      </c>
      <c r="AE14">
        <v>85.427135678391963</v>
      </c>
      <c r="AF14">
        <v>96.261239943208707</v>
      </c>
      <c r="AG14">
        <v>94.399999999999991</v>
      </c>
      <c r="AH14">
        <v>102.33948263423683</v>
      </c>
      <c r="AI14">
        <v>105.13093052468838</v>
      </c>
      <c r="AJ14">
        <v>90.057261842790211</v>
      </c>
      <c r="AK14">
        <v>85.309786178209151</v>
      </c>
      <c r="AL14">
        <v>68.518396630026984</v>
      </c>
      <c r="AM14">
        <v>90.762711864406782</v>
      </c>
      <c r="AN14">
        <v>89.927450649569764</v>
      </c>
    </row>
    <row r="15" spans="1:56">
      <c r="A15" s="1">
        <f t="shared" si="0"/>
        <v>43282</v>
      </c>
      <c r="B15">
        <v>104.6</v>
      </c>
      <c r="C15">
        <v>118.7</v>
      </c>
      <c r="D15">
        <v>116.8</v>
      </c>
      <c r="E15" s="198">
        <v>97.6111092375168</v>
      </c>
      <c r="F15">
        <v>90.63</v>
      </c>
      <c r="G15">
        <v>103.7</v>
      </c>
      <c r="H15">
        <v>108.1</v>
      </c>
      <c r="I15">
        <v>78.565051538024505</v>
      </c>
      <c r="J15" s="29">
        <v>53.105177754831097</v>
      </c>
      <c r="K15" s="29">
        <v>132.53297260737236</v>
      </c>
      <c r="L15" s="29">
        <v>87.2465549021329</v>
      </c>
      <c r="M15">
        <v>83.8</v>
      </c>
      <c r="N15">
        <v>95.788682083098323</v>
      </c>
      <c r="O15">
        <v>74.23323718137398</v>
      </c>
      <c r="P15">
        <v>96.070708041118266</v>
      </c>
      <c r="Q15">
        <v>89.77182627081315</v>
      </c>
      <c r="R15">
        <v>94.058466211085786</v>
      </c>
      <c r="S15">
        <v>82.215697166891516</v>
      </c>
      <c r="T15">
        <v>74.8763122963678</v>
      </c>
      <c r="U15">
        <v>92.783505154639172</v>
      </c>
      <c r="V15">
        <v>89.191163045462858</v>
      </c>
      <c r="W15">
        <v>96.606000983767842</v>
      </c>
      <c r="X15">
        <v>93.132361748852063</v>
      </c>
      <c r="Y15">
        <v>96.752562505987157</v>
      </c>
      <c r="Z15">
        <v>90.715258165779673</v>
      </c>
      <c r="AA15">
        <v>94.075699396599006</v>
      </c>
      <c r="AB15">
        <v>80.890706657577823</v>
      </c>
      <c r="AC15">
        <v>97.503696616508648</v>
      </c>
      <c r="AD15">
        <v>92.618979766315192</v>
      </c>
      <c r="AE15">
        <v>85.513775775428883</v>
      </c>
      <c r="AF15">
        <v>96.16658778987221</v>
      </c>
      <c r="AG15">
        <v>94.211764705882345</v>
      </c>
      <c r="AH15">
        <v>100.99969081727301</v>
      </c>
      <c r="AI15">
        <v>104.6477920572036</v>
      </c>
      <c r="AJ15">
        <v>90.057261842790211</v>
      </c>
      <c r="AK15">
        <v>84.798949135225854</v>
      </c>
      <c r="AL15">
        <v>68.913315342591986</v>
      </c>
      <c r="AM15">
        <v>91.016949152542381</v>
      </c>
      <c r="AN15">
        <v>89.843090939767166</v>
      </c>
    </row>
    <row r="16" spans="1:56">
      <c r="A16" s="1">
        <f t="shared" si="0"/>
        <v>43313</v>
      </c>
      <c r="B16">
        <v>104.6</v>
      </c>
      <c r="C16">
        <v>119.1</v>
      </c>
      <c r="D16">
        <v>117.1</v>
      </c>
      <c r="E16" s="198">
        <v>96.838869449245308</v>
      </c>
      <c r="F16">
        <v>90.8</v>
      </c>
      <c r="G16">
        <v>103.9</v>
      </c>
      <c r="H16">
        <v>108.1</v>
      </c>
      <c r="I16">
        <v>79.782485187890586</v>
      </c>
      <c r="J16" s="29">
        <v>55.072036190195206</v>
      </c>
      <c r="K16" s="29">
        <v>131.01115995941836</v>
      </c>
      <c r="L16" s="29">
        <v>87.685420872465556</v>
      </c>
      <c r="M16">
        <v>83.8</v>
      </c>
      <c r="N16">
        <v>96.540703139687906</v>
      </c>
      <c r="O16">
        <v>75.351739565550119</v>
      </c>
      <c r="P16">
        <v>96.454990873282753</v>
      </c>
      <c r="Q16">
        <v>89.507532376002104</v>
      </c>
      <c r="R16">
        <v>94.153378891419891</v>
      </c>
      <c r="S16">
        <v>82.05697960479327</v>
      </c>
      <c r="T16">
        <v>75.177989622299989</v>
      </c>
      <c r="U16">
        <v>94.869906725576826</v>
      </c>
      <c r="V16">
        <v>89.647617308745666</v>
      </c>
      <c r="W16">
        <v>96.999508116084598</v>
      </c>
      <c r="X16">
        <v>93.930924336194835</v>
      </c>
      <c r="Y16">
        <v>97.806303285755334</v>
      </c>
      <c r="Z16">
        <v>90.451551019948923</v>
      </c>
      <c r="AA16">
        <v>94.34997257268239</v>
      </c>
      <c r="AB16">
        <v>81.269408467772479</v>
      </c>
      <c r="AC16">
        <v>97.416717404540321</v>
      </c>
      <c r="AD16">
        <v>92.998955067920591</v>
      </c>
      <c r="AE16">
        <v>86.640097036908685</v>
      </c>
      <c r="AF16">
        <v>96.071935636535727</v>
      </c>
      <c r="AG16">
        <v>94.117647058823536</v>
      </c>
      <c r="AH16">
        <v>101.10275172627021</v>
      </c>
      <c r="AI16">
        <v>104.74441975070056</v>
      </c>
      <c r="AJ16">
        <v>89.970501474926252</v>
      </c>
      <c r="AK16">
        <v>85.090856016930587</v>
      </c>
      <c r="AL16">
        <v>69.044954913446986</v>
      </c>
      <c r="AM16">
        <v>90.508474576271183</v>
      </c>
      <c r="AN16">
        <v>88.493335582925596</v>
      </c>
    </row>
    <row r="17" spans="1:40">
      <c r="A17" s="1">
        <f t="shared" si="0"/>
        <v>43344</v>
      </c>
      <c r="B17">
        <v>104.6</v>
      </c>
      <c r="C17">
        <v>119.5</v>
      </c>
      <c r="D17">
        <v>117.4</v>
      </c>
      <c r="E17" s="198">
        <v>95.108260282708713</v>
      </c>
      <c r="F17">
        <v>92.45</v>
      </c>
      <c r="G17">
        <v>101.9</v>
      </c>
      <c r="H17">
        <v>108.2</v>
      </c>
      <c r="I17">
        <v>80.025971917863814</v>
      </c>
      <c r="J17" s="29">
        <v>60.923440035403452</v>
      </c>
      <c r="K17" s="29">
        <v>132.80351707811977</v>
      </c>
      <c r="L17" s="29">
        <v>88.475379619064341</v>
      </c>
      <c r="M17">
        <v>83.8</v>
      </c>
      <c r="N17">
        <v>95.694679451024612</v>
      </c>
      <c r="O17">
        <v>75.999293577441563</v>
      </c>
      <c r="P17">
        <v>96.166778749159377</v>
      </c>
      <c r="Q17">
        <v>90.652805920183255</v>
      </c>
      <c r="R17">
        <v>94.343204252088071</v>
      </c>
      <c r="S17">
        <v>82.771208634235379</v>
      </c>
      <c r="T17">
        <v>75.298660552672857</v>
      </c>
      <c r="U17">
        <v>95.238095238095241</v>
      </c>
      <c r="V17">
        <v>89.099872192806288</v>
      </c>
      <c r="W17">
        <v>97.589768814559775</v>
      </c>
      <c r="X17">
        <v>93.930924336194835</v>
      </c>
      <c r="Y17">
        <v>97.231535587699966</v>
      </c>
      <c r="Z17">
        <v>92.824915332425704</v>
      </c>
      <c r="AA17">
        <v>94.258548180654586</v>
      </c>
      <c r="AB17">
        <v>81.269408467772479</v>
      </c>
      <c r="AC17">
        <v>97.938592676350353</v>
      </c>
      <c r="AD17">
        <v>93.568918020328681</v>
      </c>
      <c r="AE17">
        <v>84.647374805059798</v>
      </c>
      <c r="AF17">
        <v>95.787979176526264</v>
      </c>
      <c r="AG17">
        <v>93.741176470588229</v>
      </c>
      <c r="AH17">
        <v>101.82417808925074</v>
      </c>
      <c r="AI17">
        <v>105.32418591168229</v>
      </c>
      <c r="AJ17">
        <v>90.664584417837929</v>
      </c>
      <c r="AK17">
        <v>85.455739619061504</v>
      </c>
      <c r="AL17">
        <v>69.571513196866974</v>
      </c>
      <c r="AM17">
        <v>91.864406779661024</v>
      </c>
      <c r="AN17">
        <v>88.999493841741184</v>
      </c>
    </row>
    <row r="18" spans="1:40">
      <c r="A18" s="1">
        <f t="shared" si="0"/>
        <v>43374</v>
      </c>
      <c r="B18">
        <v>104.3</v>
      </c>
      <c r="C18" s="29">
        <v>119.7</v>
      </c>
      <c r="D18">
        <v>117.8</v>
      </c>
      <c r="E18" s="198">
        <v>92.171935981811814</v>
      </c>
      <c r="F18">
        <v>95.34</v>
      </c>
      <c r="G18">
        <v>102.6</v>
      </c>
      <c r="H18">
        <v>108.2</v>
      </c>
      <c r="I18">
        <v>80.594107621134654</v>
      </c>
      <c r="J18" s="29">
        <v>65.889757584697833</v>
      </c>
      <c r="K18" s="29">
        <v>145.48528914440317</v>
      </c>
      <c r="L18" s="29">
        <v>89.177565171596598</v>
      </c>
      <c r="M18">
        <v>84.1</v>
      </c>
      <c r="N18">
        <v>96.070689979319411</v>
      </c>
      <c r="O18">
        <v>75.234002472478949</v>
      </c>
      <c r="P18">
        <v>96.070708041118266</v>
      </c>
      <c r="Q18">
        <v>90.564707955246234</v>
      </c>
      <c r="R18">
        <v>94.627942293090356</v>
      </c>
      <c r="S18">
        <v>83.485437663677487</v>
      </c>
      <c r="T18">
        <v>74.574634970435625</v>
      </c>
      <c r="U18">
        <v>97.815414825724105</v>
      </c>
      <c r="V18">
        <v>88.917290487493162</v>
      </c>
      <c r="W18">
        <v>96.999508116084598</v>
      </c>
      <c r="X18">
        <v>93.731283689359159</v>
      </c>
      <c r="Y18">
        <v>96.46517865695948</v>
      </c>
      <c r="Z18">
        <v>92.561208186594953</v>
      </c>
      <c r="AA18">
        <v>94.715670140793549</v>
      </c>
      <c r="AB18">
        <v>81.799591002044991</v>
      </c>
      <c r="AC18">
        <v>94.89432025745846</v>
      </c>
      <c r="AD18">
        <v>93.378930369525975</v>
      </c>
      <c r="AE18">
        <v>84.127534222838335</v>
      </c>
      <c r="AF18">
        <v>95.504022716516801</v>
      </c>
      <c r="AG18">
        <v>93.552941176470597</v>
      </c>
      <c r="AH18">
        <v>100.3813253632897</v>
      </c>
      <c r="AI18">
        <v>105.42081360517925</v>
      </c>
      <c r="AJ18">
        <v>92.399791775117123</v>
      </c>
      <c r="AK18">
        <v>85.528716339487701</v>
      </c>
      <c r="AL18">
        <v>69.24241426972948</v>
      </c>
      <c r="AM18">
        <v>90.762711864406782</v>
      </c>
      <c r="AN18">
        <v>87.734098194702213</v>
      </c>
    </row>
    <row r="19" spans="1:40">
      <c r="A19" s="1">
        <f t="shared" si="0"/>
        <v>43405</v>
      </c>
      <c r="B19">
        <v>104.3</v>
      </c>
      <c r="C19">
        <v>120</v>
      </c>
      <c r="D19">
        <v>118.2</v>
      </c>
      <c r="E19" s="198">
        <v>97.300740050752083</v>
      </c>
      <c r="F19">
        <v>92.8</v>
      </c>
      <c r="G19">
        <v>101.8</v>
      </c>
      <c r="H19">
        <v>108.2</v>
      </c>
      <c r="I19">
        <v>85.788491193896604</v>
      </c>
      <c r="J19" s="29">
        <v>62.398583861926539</v>
      </c>
      <c r="K19" s="29">
        <v>128.84680419343934</v>
      </c>
      <c r="L19" s="29">
        <v>88.738699201263927</v>
      </c>
      <c r="M19">
        <v>84</v>
      </c>
      <c r="N19">
        <v>96.258695243466818</v>
      </c>
      <c r="O19">
        <v>74.527579914051913</v>
      </c>
      <c r="P19">
        <v>96.166778749159377</v>
      </c>
      <c r="Q19">
        <v>90.036120165624183</v>
      </c>
      <c r="R19">
        <v>93.773728170083515</v>
      </c>
      <c r="S19">
        <v>84.279025474168719</v>
      </c>
      <c r="T19">
        <v>74.393628574876317</v>
      </c>
      <c r="U19">
        <v>104.68826705940108</v>
      </c>
      <c r="V19">
        <v>89.556326456089096</v>
      </c>
      <c r="W19">
        <v>95.720609936055098</v>
      </c>
      <c r="X19">
        <v>94.130564983030538</v>
      </c>
      <c r="Y19">
        <v>95.79461634256154</v>
      </c>
      <c r="Z19">
        <v>89.836234346343829</v>
      </c>
      <c r="AA19">
        <v>94.807094532821353</v>
      </c>
      <c r="AB19">
        <v>82.556994622434289</v>
      </c>
      <c r="AC19">
        <v>95.938070801078538</v>
      </c>
      <c r="AD19">
        <v>93.378930369525975</v>
      </c>
      <c r="AE19">
        <v>84.214174319875255</v>
      </c>
      <c r="AF19">
        <v>95.787979176526264</v>
      </c>
      <c r="AG19">
        <v>93.647058823529406</v>
      </c>
      <c r="AH19">
        <v>100.69050809028136</v>
      </c>
      <c r="AI19">
        <v>105.42081360517925</v>
      </c>
      <c r="AJ19">
        <v>91.618948464341472</v>
      </c>
      <c r="AK19">
        <v>85.090856016930587</v>
      </c>
      <c r="AL19">
        <v>69.044954913446986</v>
      </c>
      <c r="AM19">
        <v>90.169491525423737</v>
      </c>
      <c r="AN19">
        <v>87.396659355491806</v>
      </c>
    </row>
    <row r="20" spans="1:40">
      <c r="A20" s="1">
        <f t="shared" si="0"/>
        <v>43435</v>
      </c>
      <c r="B20">
        <v>104.1</v>
      </c>
      <c r="C20">
        <v>120.2</v>
      </c>
      <c r="D20">
        <v>118.6</v>
      </c>
      <c r="E20" s="198">
        <v>103.64464943594083</v>
      </c>
      <c r="F20">
        <v>89.01</v>
      </c>
      <c r="G20">
        <v>102.7</v>
      </c>
      <c r="H20">
        <v>108.2</v>
      </c>
      <c r="I20">
        <v>90.577063550036527</v>
      </c>
      <c r="J20" s="29">
        <v>59.497467669764468</v>
      </c>
      <c r="K20" s="29">
        <v>110.04396347649647</v>
      </c>
      <c r="L20" s="29">
        <v>88.650926007197398</v>
      </c>
      <c r="M20">
        <v>84.1</v>
      </c>
      <c r="N20">
        <v>96.070689979319411</v>
      </c>
      <c r="O20">
        <v>73.880025902160469</v>
      </c>
      <c r="P20">
        <v>95.110000960707083</v>
      </c>
      <c r="Q20">
        <v>89.948022200687163</v>
      </c>
      <c r="R20">
        <v>94.533029612756252</v>
      </c>
      <c r="S20">
        <v>84.675819379414335</v>
      </c>
      <c r="T20">
        <v>73.97128031857126</v>
      </c>
      <c r="U20">
        <v>94.501718213058425</v>
      </c>
      <c r="V20">
        <v>89.46503560343254</v>
      </c>
      <c r="W20">
        <v>93.753074274471231</v>
      </c>
      <c r="X20">
        <v>95.128768217209014</v>
      </c>
      <c r="Y20">
        <v>95.698821726218981</v>
      </c>
      <c r="Z20">
        <v>90.09994149217458</v>
      </c>
      <c r="AA20">
        <v>94.715670140793549</v>
      </c>
      <c r="AB20">
        <v>80.739225933499952</v>
      </c>
      <c r="AC20">
        <v>90.458380447073154</v>
      </c>
      <c r="AD20">
        <v>93.093948893321937</v>
      </c>
      <c r="AE20">
        <v>84.040894125801429</v>
      </c>
      <c r="AF20">
        <v>95.693327023189767</v>
      </c>
      <c r="AG20">
        <v>93.552941176470597</v>
      </c>
      <c r="AH20">
        <v>100.17520354529526</v>
      </c>
      <c r="AI20">
        <v>105.22755821818535</v>
      </c>
      <c r="AJ20">
        <v>90.40430331424605</v>
      </c>
      <c r="AK20">
        <v>84.725972414799671</v>
      </c>
      <c r="AL20">
        <v>68.715855986309478</v>
      </c>
      <c r="AM20">
        <v>90.762711864406782</v>
      </c>
      <c r="AN20">
        <v>87.818457904504797</v>
      </c>
    </row>
    <row r="21" spans="1:40">
      <c r="A21" s="1">
        <f t="shared" si="0"/>
        <v>43466</v>
      </c>
      <c r="B21">
        <v>104.7</v>
      </c>
      <c r="C21">
        <v>120.8</v>
      </c>
      <c r="D21">
        <v>118.8</v>
      </c>
      <c r="E21" s="21">
        <v>97.6</v>
      </c>
      <c r="F21">
        <v>87.53</v>
      </c>
      <c r="G21">
        <v>102.3</v>
      </c>
      <c r="H21">
        <v>108.2</v>
      </c>
      <c r="I21">
        <v>93.580066553039529</v>
      </c>
      <c r="J21" s="29">
        <v>56.645522938486501</v>
      </c>
      <c r="K21" s="29">
        <v>111.83632059519786</v>
      </c>
      <c r="L21" s="29">
        <v>88.738699201263927</v>
      </c>
      <c r="M21">
        <v>84.2</v>
      </c>
      <c r="N21">
        <v>97.574732092498579</v>
      </c>
      <c r="O21">
        <v>73.350208983340195</v>
      </c>
      <c r="P21">
        <v>97.031415121529449</v>
      </c>
      <c r="Q21">
        <v>89.507532376002104</v>
      </c>
      <c r="R21">
        <v>98.709187547456338</v>
      </c>
      <c r="S21">
        <v>85.072613284659951</v>
      </c>
      <c r="T21">
        <v>74.393628574876317</v>
      </c>
      <c r="U21">
        <v>83.333333333333343</v>
      </c>
      <c r="V21">
        <v>90.012780719371918</v>
      </c>
      <c r="W21">
        <v>97.491392031480572</v>
      </c>
      <c r="X21">
        <v>94.82930724695548</v>
      </c>
      <c r="Y21">
        <v>95.986205575246672</v>
      </c>
      <c r="Z21">
        <v>90.187843874118158</v>
      </c>
      <c r="AA21">
        <v>95.172792100932512</v>
      </c>
      <c r="AB21">
        <v>78.769976520487759</v>
      </c>
      <c r="AC21">
        <v>93.067756806123342</v>
      </c>
      <c r="AD21">
        <v>94.138880972736771</v>
      </c>
      <c r="AE21">
        <v>84.214174319875255</v>
      </c>
      <c r="AF21">
        <v>96.923805016564131</v>
      </c>
      <c r="AG21">
        <v>95.435294117647061</v>
      </c>
      <c r="AH21">
        <v>102.03029990724518</v>
      </c>
      <c r="AI21">
        <v>104.6477920572036</v>
      </c>
      <c r="AJ21">
        <v>93.527676557348599</v>
      </c>
      <c r="AK21">
        <v>84.507042253521121</v>
      </c>
      <c r="AL21">
        <v>67.596919634041996</v>
      </c>
      <c r="AM21">
        <v>91.27118644067798</v>
      </c>
      <c r="AN21">
        <v>86.890501096676232</v>
      </c>
    </row>
    <row r="22" spans="1:40">
      <c r="A22" s="1">
        <f t="shared" si="0"/>
        <v>43497</v>
      </c>
      <c r="B22">
        <v>104.7</v>
      </c>
      <c r="C22">
        <v>121.4</v>
      </c>
      <c r="D22">
        <v>118.9</v>
      </c>
      <c r="E22" s="21">
        <v>101.1</v>
      </c>
      <c r="F22">
        <v>89.92</v>
      </c>
      <c r="G22">
        <v>102.7</v>
      </c>
      <c r="H22">
        <v>108.2</v>
      </c>
      <c r="I22">
        <v>100.31653274896517</v>
      </c>
      <c r="J22" s="29">
        <v>50.204061562669025</v>
      </c>
      <c r="K22" s="29">
        <v>125.83699695637475</v>
      </c>
      <c r="L22" s="29">
        <v>88.475379619064341</v>
      </c>
      <c r="M22">
        <v>84.3</v>
      </c>
      <c r="N22">
        <v>97.950742620793378</v>
      </c>
      <c r="O22">
        <v>72.879260611055514</v>
      </c>
      <c r="P22">
        <v>97.12748582957056</v>
      </c>
      <c r="Q22">
        <v>88.978944586380052</v>
      </c>
      <c r="R22">
        <v>98.234624145785872</v>
      </c>
      <c r="S22">
        <v>85.151972065709074</v>
      </c>
      <c r="T22">
        <v>73.609267527452644</v>
      </c>
      <c r="U22">
        <v>86.217476681394217</v>
      </c>
      <c r="V22">
        <v>91.199561803907258</v>
      </c>
      <c r="W22">
        <v>97.393015248401383</v>
      </c>
      <c r="X22">
        <v>93.831104012777004</v>
      </c>
      <c r="Y22">
        <v>97.710508669412775</v>
      </c>
      <c r="Z22">
        <v>90.803160547723252</v>
      </c>
      <c r="AA22">
        <v>95.538489669043685</v>
      </c>
      <c r="AB22">
        <v>79.072937968643487</v>
      </c>
      <c r="AC22">
        <v>93.937548925806738</v>
      </c>
      <c r="AD22">
        <v>95.08881922675026</v>
      </c>
      <c r="AE22">
        <v>84.214174319875255</v>
      </c>
      <c r="AF22">
        <v>96.923805016564131</v>
      </c>
      <c r="AG22">
        <v>95.341176470588238</v>
      </c>
      <c r="AH22">
        <v>100.27826445429248</v>
      </c>
      <c r="AI22">
        <v>104.45453667020968</v>
      </c>
      <c r="AJ22">
        <v>93.18063508589276</v>
      </c>
      <c r="AK22">
        <v>83.850251769685471</v>
      </c>
      <c r="AL22">
        <v>67.728559204896996</v>
      </c>
      <c r="AM22">
        <v>91.610169491525426</v>
      </c>
      <c r="AN22">
        <v>86.721781677071021</v>
      </c>
    </row>
    <row r="23" spans="1:40">
      <c r="A23" s="1">
        <f t="shared" si="0"/>
        <v>43525</v>
      </c>
      <c r="B23">
        <v>105.7</v>
      </c>
      <c r="C23">
        <v>122</v>
      </c>
      <c r="D23">
        <v>119.1</v>
      </c>
      <c r="E23" s="21">
        <v>103.1</v>
      </c>
      <c r="F23">
        <v>91.46</v>
      </c>
      <c r="G23">
        <v>102.5</v>
      </c>
      <c r="H23">
        <v>109</v>
      </c>
      <c r="I23">
        <v>101.93977761545329</v>
      </c>
      <c r="J23" s="29">
        <v>42.090770516792048</v>
      </c>
      <c r="K23" s="29">
        <v>128.77916807575249</v>
      </c>
      <c r="L23" s="29">
        <v>88.124286842798213</v>
      </c>
      <c r="M23">
        <v>84.2</v>
      </c>
      <c r="N23">
        <v>98.044745252867074</v>
      </c>
      <c r="O23">
        <v>72.938129157591092</v>
      </c>
      <c r="P23">
        <v>97.031415121529449</v>
      </c>
      <c r="Q23">
        <v>88.802748656506026</v>
      </c>
      <c r="R23">
        <v>97.380410022779031</v>
      </c>
      <c r="S23">
        <v>84.755178160463458</v>
      </c>
      <c r="T23">
        <v>73.488596597079763</v>
      </c>
      <c r="U23">
        <v>94.072164948453619</v>
      </c>
      <c r="V23">
        <v>91.65601606719008</v>
      </c>
      <c r="W23">
        <v>96.310870634530261</v>
      </c>
      <c r="X23">
        <v>93.930924336194835</v>
      </c>
      <c r="Y23">
        <v>96.848357122329716</v>
      </c>
      <c r="Z23">
        <v>92.121696276877032</v>
      </c>
      <c r="AA23">
        <v>95.538489669043685</v>
      </c>
      <c r="AB23">
        <v>79.375899416799214</v>
      </c>
      <c r="AC23">
        <v>92.719839958249977</v>
      </c>
      <c r="AD23">
        <v>94.993825401348914</v>
      </c>
      <c r="AE23">
        <v>84.387454513949066</v>
      </c>
      <c r="AF23">
        <v>96.734500709891151</v>
      </c>
      <c r="AG23">
        <v>95.247058823529414</v>
      </c>
      <c r="AH23">
        <v>102.85478717922291</v>
      </c>
      <c r="AI23">
        <v>104.6477920572036</v>
      </c>
      <c r="AJ23">
        <v>93.0938747180288</v>
      </c>
      <c r="AK23">
        <v>84.215135371816388</v>
      </c>
      <c r="AL23">
        <v>67.596919634041996</v>
      </c>
      <c r="AM23">
        <v>92.118644067796623</v>
      </c>
      <c r="AN23">
        <v>87.565378775097017</v>
      </c>
    </row>
    <row r="24" spans="1:40">
      <c r="A24" s="1">
        <f t="shared" si="0"/>
        <v>43556</v>
      </c>
      <c r="B24">
        <v>105.3</v>
      </c>
      <c r="C24">
        <v>122.3</v>
      </c>
      <c r="D24">
        <v>119.2</v>
      </c>
      <c r="E24" s="21">
        <v>103.6</v>
      </c>
      <c r="F24">
        <v>91.96</v>
      </c>
      <c r="G24">
        <v>103.4</v>
      </c>
      <c r="H24">
        <v>109</v>
      </c>
      <c r="I24">
        <v>96.988880772664558</v>
      </c>
      <c r="J24" s="29">
        <v>37.665339037222793</v>
      </c>
      <c r="K24" s="29">
        <v>132.80351707811977</v>
      </c>
      <c r="L24" s="29">
        <v>86.7199157377337</v>
      </c>
      <c r="M24">
        <v>84.3</v>
      </c>
      <c r="N24">
        <v>97.856739988719667</v>
      </c>
      <c r="O24">
        <v>72.879260611055514</v>
      </c>
      <c r="P24">
        <v>97.799980785858395</v>
      </c>
      <c r="Q24">
        <v>88.009866972072956</v>
      </c>
      <c r="R24">
        <v>97.095671981776761</v>
      </c>
      <c r="S24">
        <v>84.517101817316089</v>
      </c>
      <c r="T24">
        <v>73.669602992639071</v>
      </c>
      <c r="U24">
        <v>96.342660775650472</v>
      </c>
      <c r="V24">
        <v>91.747306919846636</v>
      </c>
      <c r="W24">
        <v>97.589768814559775</v>
      </c>
      <c r="X24">
        <v>93.831104012777004</v>
      </c>
      <c r="Y24">
        <v>97.231535587699966</v>
      </c>
      <c r="Z24">
        <v>93.176524860200047</v>
      </c>
      <c r="AA24">
        <v>95.812762845127068</v>
      </c>
      <c r="AB24">
        <v>79.830341589032798</v>
      </c>
      <c r="AC24">
        <v>93.415673653996706</v>
      </c>
      <c r="AD24">
        <v>95.563788353757005</v>
      </c>
      <c r="AE24">
        <v>85.687055969502694</v>
      </c>
      <c r="AF24">
        <v>96.829152863227634</v>
      </c>
      <c r="AG24">
        <v>95.341176470588238</v>
      </c>
      <c r="AH24">
        <v>104.5037617231784</v>
      </c>
      <c r="AI24">
        <v>104.93767513769447</v>
      </c>
      <c r="AJ24">
        <v>92.660072878709002</v>
      </c>
      <c r="AK24">
        <v>84.069181930964021</v>
      </c>
      <c r="AL24">
        <v>66.807082208911993</v>
      </c>
      <c r="AM24">
        <v>91.949152542372886</v>
      </c>
      <c r="AN24">
        <v>87.059220516281428</v>
      </c>
    </row>
    <row r="25" spans="1:40">
      <c r="A25" s="1">
        <f t="shared" si="0"/>
        <v>43586</v>
      </c>
      <c r="B25">
        <v>105</v>
      </c>
      <c r="C25">
        <v>122.5</v>
      </c>
      <c r="D25">
        <v>119.3</v>
      </c>
      <c r="E25" s="21">
        <v>103.5</v>
      </c>
      <c r="F25">
        <v>92.83</v>
      </c>
      <c r="G25">
        <v>102.8</v>
      </c>
      <c r="H25">
        <v>109</v>
      </c>
      <c r="I25">
        <v>87.168249330411498</v>
      </c>
      <c r="J25" s="29">
        <v>35.157594532133551</v>
      </c>
      <c r="K25" s="29">
        <v>129.21880284071699</v>
      </c>
      <c r="L25" s="29">
        <v>86.895462125866757</v>
      </c>
      <c r="M25">
        <v>84.3</v>
      </c>
      <c r="N25">
        <v>98.608761045309265</v>
      </c>
      <c r="O25">
        <v>72.408312238770819</v>
      </c>
      <c r="P25">
        <v>97.89605149389952</v>
      </c>
      <c r="Q25">
        <v>89.067042551317058</v>
      </c>
      <c r="R25">
        <v>96.33637053910401</v>
      </c>
      <c r="S25">
        <v>84.437743036266966</v>
      </c>
      <c r="T25">
        <v>72.643900084469649</v>
      </c>
      <c r="U25">
        <v>99.288168875797751</v>
      </c>
      <c r="V25">
        <v>92.934088004381962</v>
      </c>
      <c r="W25">
        <v>98.475159862272506</v>
      </c>
      <c r="X25">
        <v>94.629666600119776</v>
      </c>
      <c r="Y25">
        <v>97.135740971357407</v>
      </c>
      <c r="Z25">
        <v>92.737012950482125</v>
      </c>
      <c r="AA25">
        <v>95.904187237154872</v>
      </c>
      <c r="AB25">
        <v>81.496629553889264</v>
      </c>
      <c r="AC25">
        <v>93.067756806123342</v>
      </c>
      <c r="AD25">
        <v>95.753776004559697</v>
      </c>
      <c r="AE25">
        <v>84.99393519320742</v>
      </c>
      <c r="AF25">
        <v>96.829152863227634</v>
      </c>
      <c r="AG25">
        <v>95.058823529411768</v>
      </c>
      <c r="AH25">
        <v>104.60682263217561</v>
      </c>
      <c r="AI25">
        <v>104.06802589622187</v>
      </c>
      <c r="AJ25">
        <v>92.313031407253163</v>
      </c>
      <c r="AK25">
        <v>83.485368167554554</v>
      </c>
      <c r="AL25">
        <v>67.465280063186995</v>
      </c>
      <c r="AM25">
        <v>92.118644067796623</v>
      </c>
      <c r="AN25">
        <v>86.806141386873634</v>
      </c>
    </row>
    <row r="26" spans="1:40">
      <c r="A26" s="1">
        <f t="shared" si="0"/>
        <v>43617</v>
      </c>
      <c r="B26">
        <v>104.9</v>
      </c>
      <c r="C26">
        <v>122.7</v>
      </c>
      <c r="D26">
        <v>119.4</v>
      </c>
      <c r="E26" s="21">
        <v>96.5</v>
      </c>
      <c r="F26">
        <v>89.28</v>
      </c>
      <c r="G26">
        <v>103.6</v>
      </c>
      <c r="H26">
        <v>110.1</v>
      </c>
      <c r="I26">
        <v>83.840597354110869</v>
      </c>
      <c r="J26" s="29">
        <v>30.142105521955056</v>
      </c>
      <c r="K26" s="29">
        <v>117.65302671626651</v>
      </c>
      <c r="L26" s="29">
        <v>87.334328096199428</v>
      </c>
      <c r="M26">
        <v>84.3</v>
      </c>
      <c r="N26">
        <v>98.98477157360405</v>
      </c>
      <c r="O26">
        <v>71.819626773414967</v>
      </c>
      <c r="P26">
        <v>97.415697953693936</v>
      </c>
      <c r="Q26">
        <v>88.626552726632013</v>
      </c>
      <c r="R26">
        <v>96.810933940774476</v>
      </c>
      <c r="S26">
        <v>84.755178160463458</v>
      </c>
      <c r="T26">
        <v>71.678532641486669</v>
      </c>
      <c r="U26">
        <v>97.201767304860098</v>
      </c>
      <c r="V26">
        <v>92.66021544641228</v>
      </c>
      <c r="W26">
        <v>98.475159862272506</v>
      </c>
      <c r="X26">
        <v>94.929127570373325</v>
      </c>
      <c r="Y26">
        <v>97.614714053070216</v>
      </c>
      <c r="Z26">
        <v>91.94589151298986</v>
      </c>
      <c r="AA26">
        <v>96.544157981349414</v>
      </c>
      <c r="AB26">
        <v>79.981822313110655</v>
      </c>
      <c r="AC26">
        <v>93.850569713838397</v>
      </c>
      <c r="AD26">
        <v>95.848769829961057</v>
      </c>
      <c r="AE26">
        <v>83.521053543579981</v>
      </c>
      <c r="AF26">
        <v>96.829152863227634</v>
      </c>
      <c r="AG26">
        <v>95.058823529411768</v>
      </c>
      <c r="AH26">
        <v>102.95784808822013</v>
      </c>
      <c r="AI26">
        <v>104.26128128321578</v>
      </c>
      <c r="AJ26">
        <v>93.874718028804438</v>
      </c>
      <c r="AK26">
        <v>84.069181930964021</v>
      </c>
      <c r="AL26">
        <v>66.7412624234845</v>
      </c>
      <c r="AM26">
        <v>92.118644067796623</v>
      </c>
      <c r="AN26">
        <v>86.384342837860643</v>
      </c>
    </row>
    <row r="27" spans="1:40">
      <c r="A27" s="1">
        <f t="shared" si="0"/>
        <v>43647</v>
      </c>
      <c r="B27">
        <v>105</v>
      </c>
      <c r="C27">
        <v>122.9</v>
      </c>
      <c r="D27">
        <v>119.6</v>
      </c>
      <c r="E27" s="21">
        <v>97.7</v>
      </c>
      <c r="F27">
        <v>88.98</v>
      </c>
      <c r="G27">
        <v>104.9</v>
      </c>
      <c r="H27">
        <v>110.1</v>
      </c>
      <c r="I27">
        <v>84.571057544030523</v>
      </c>
      <c r="J27" s="29">
        <v>26.454245955647341</v>
      </c>
      <c r="K27" s="29">
        <v>126.91917483936426</v>
      </c>
      <c r="L27" s="29">
        <v>88.82647239533047</v>
      </c>
      <c r="M27">
        <v>82.8</v>
      </c>
      <c r="N27">
        <v>99.07877420567776</v>
      </c>
      <c r="O27">
        <v>70.936598575381169</v>
      </c>
      <c r="P27">
        <v>97.511768661735047</v>
      </c>
      <c r="Q27">
        <v>88.538454761695007</v>
      </c>
      <c r="R27">
        <v>96.810933940774476</v>
      </c>
      <c r="S27">
        <v>85.310689627807321</v>
      </c>
      <c r="T27">
        <v>71.618197176300228</v>
      </c>
      <c r="U27">
        <v>93.090328915071183</v>
      </c>
      <c r="V27">
        <v>92.751506299068836</v>
      </c>
      <c r="W27">
        <v>98.671913428430898</v>
      </c>
      <c r="X27">
        <v>94.929127570373325</v>
      </c>
      <c r="Y27">
        <v>97.423124820385098</v>
      </c>
      <c r="Z27">
        <v>92.297501040764203</v>
      </c>
      <c r="AA27">
        <v>97.275553117571761</v>
      </c>
      <c r="AB27">
        <v>77.179428917670222</v>
      </c>
      <c r="AC27">
        <v>92.719839958249977</v>
      </c>
      <c r="AD27">
        <v>95.943763655362403</v>
      </c>
      <c r="AE27">
        <v>82.481372379137071</v>
      </c>
      <c r="AF27">
        <v>97.113109323237097</v>
      </c>
      <c r="AG27">
        <v>95.247058823529414</v>
      </c>
      <c r="AH27">
        <v>101.51499536225909</v>
      </c>
      <c r="AI27">
        <v>104.26128128321578</v>
      </c>
      <c r="AJ27">
        <v>92.660072878709002</v>
      </c>
      <c r="AK27">
        <v>82.536670802014143</v>
      </c>
      <c r="AL27">
        <v>65.161587573224509</v>
      </c>
      <c r="AM27">
        <v>92.457627118644069</v>
      </c>
      <c r="AN27">
        <v>85.372026320229466</v>
      </c>
    </row>
    <row r="28" spans="1:40">
      <c r="A28" s="1">
        <f t="shared" si="0"/>
        <v>43678</v>
      </c>
      <c r="B28">
        <v>105.1</v>
      </c>
      <c r="C28">
        <v>123.1</v>
      </c>
      <c r="D28">
        <v>119.8</v>
      </c>
      <c r="E28" s="21">
        <v>96.4</v>
      </c>
      <c r="F28">
        <v>88.42</v>
      </c>
      <c r="G28">
        <v>104.9</v>
      </c>
      <c r="H28">
        <v>110.1</v>
      </c>
      <c r="I28">
        <v>86.600113627140658</v>
      </c>
      <c r="J28" s="29">
        <v>26.110045729458623</v>
      </c>
      <c r="K28" s="29">
        <v>103.07744335475147</v>
      </c>
      <c r="L28" s="29">
        <v>88.387606424997813</v>
      </c>
      <c r="M28">
        <v>82.8</v>
      </c>
      <c r="N28">
        <v>100.30080842263582</v>
      </c>
      <c r="O28">
        <v>70.524518749632065</v>
      </c>
      <c r="P28">
        <v>97.415697953693936</v>
      </c>
      <c r="Q28">
        <v>88.009866972072956</v>
      </c>
      <c r="R28">
        <v>96.905846621108566</v>
      </c>
      <c r="S28">
        <v>84.755178160463458</v>
      </c>
      <c r="T28">
        <v>70.230481477012191</v>
      </c>
      <c r="U28">
        <v>94.62444771723122</v>
      </c>
      <c r="V28">
        <v>93.481833120321355</v>
      </c>
      <c r="W28">
        <v>98.868666994589276</v>
      </c>
      <c r="X28">
        <v>94.729486923537635</v>
      </c>
      <c r="Y28">
        <v>98.285276367468143</v>
      </c>
      <c r="Z28">
        <v>94.143451061579469</v>
      </c>
      <c r="AA28">
        <v>97.45840190162734</v>
      </c>
      <c r="AB28">
        <v>76.497765659319853</v>
      </c>
      <c r="AC28">
        <v>93.067756806123342</v>
      </c>
      <c r="AD28">
        <v>96.608720433171854</v>
      </c>
      <c r="AE28">
        <v>81.528331311731066</v>
      </c>
      <c r="AF28">
        <v>97.491717936583058</v>
      </c>
      <c r="AG28">
        <v>95.71764705882353</v>
      </c>
      <c r="AH28">
        <v>100.99969081727301</v>
      </c>
      <c r="AI28">
        <v>104.26128128321578</v>
      </c>
      <c r="AJ28">
        <v>96.04372722540343</v>
      </c>
      <c r="AK28">
        <v>82.171787199883227</v>
      </c>
      <c r="AL28">
        <v>65.951424998354497</v>
      </c>
      <c r="AM28">
        <v>92.457627118644069</v>
      </c>
      <c r="AN28">
        <v>84.950227771216476</v>
      </c>
    </row>
    <row r="29" spans="1:40">
      <c r="A29" s="1">
        <f t="shared" si="0"/>
        <v>43709</v>
      </c>
      <c r="B29">
        <v>105.7</v>
      </c>
      <c r="C29">
        <v>123.3</v>
      </c>
      <c r="D29">
        <v>119.9</v>
      </c>
      <c r="E29" s="21">
        <v>100.6</v>
      </c>
      <c r="F29">
        <v>89.8</v>
      </c>
      <c r="G29">
        <v>103.1</v>
      </c>
      <c r="H29">
        <v>110.1</v>
      </c>
      <c r="I29">
        <v>86.843600357113871</v>
      </c>
      <c r="J29" s="29">
        <v>26.011702807690416</v>
      </c>
      <c r="K29" s="29">
        <v>115.59012512681774</v>
      </c>
      <c r="L29" s="29">
        <v>86.807688931800229</v>
      </c>
      <c r="M29">
        <v>82.8</v>
      </c>
      <c r="N29">
        <v>98.890768941530354</v>
      </c>
      <c r="O29">
        <v>69.641490551598281</v>
      </c>
      <c r="P29">
        <v>97.415697953693936</v>
      </c>
      <c r="Q29">
        <v>87.657475112324903</v>
      </c>
      <c r="R29">
        <v>96.621108580106295</v>
      </c>
      <c r="S29">
        <v>85.628124752003814</v>
      </c>
      <c r="T29">
        <v>70.230481477012191</v>
      </c>
      <c r="U29">
        <v>86.462935689739822</v>
      </c>
      <c r="V29">
        <v>92.751506299068836</v>
      </c>
      <c r="W29">
        <v>99.262174126906061</v>
      </c>
      <c r="X29">
        <v>95.328408864044718</v>
      </c>
      <c r="Y29">
        <v>97.518919436727643</v>
      </c>
      <c r="Z29">
        <v>93.52813438797439</v>
      </c>
      <c r="AA29">
        <v>97.36697750959955</v>
      </c>
      <c r="AB29">
        <v>76.346284935241982</v>
      </c>
      <c r="AC29">
        <v>94.198486561711746</v>
      </c>
      <c r="AD29">
        <v>96.418732782369148</v>
      </c>
      <c r="AE29">
        <v>81.528331311731066</v>
      </c>
      <c r="AF29">
        <v>97.681022243256038</v>
      </c>
      <c r="AG29">
        <v>95.905882352941177</v>
      </c>
      <c r="AH29">
        <v>101.20581263526743</v>
      </c>
      <c r="AI29">
        <v>104.35790897671274</v>
      </c>
      <c r="AJ29">
        <v>93.701197293076518</v>
      </c>
      <c r="AK29">
        <v>81.077136393490463</v>
      </c>
      <c r="AL29">
        <v>65.359046929507002</v>
      </c>
      <c r="AM29">
        <v>92.118644067796623</v>
      </c>
      <c r="AN29">
        <v>84.950227771216476</v>
      </c>
    </row>
    <row r="30" spans="1:40">
      <c r="A30" s="1">
        <f t="shared" si="0"/>
        <v>43739</v>
      </c>
      <c r="B30">
        <v>105.6</v>
      </c>
      <c r="C30">
        <v>123.5</v>
      </c>
      <c r="D30">
        <v>120</v>
      </c>
      <c r="E30" s="21">
        <v>100.2</v>
      </c>
      <c r="F30">
        <v>90.14</v>
      </c>
      <c r="G30">
        <v>103.7</v>
      </c>
      <c r="H30">
        <v>110.1</v>
      </c>
      <c r="I30">
        <v>88.466845223601979</v>
      </c>
      <c r="J30" s="29">
        <v>29.207847765157101</v>
      </c>
      <c r="K30" s="29">
        <v>98.647277646263106</v>
      </c>
      <c r="L30" s="29">
        <v>87.509874484332485</v>
      </c>
      <c r="M30">
        <v>82.8</v>
      </c>
      <c r="N30">
        <v>98.420755781161873</v>
      </c>
      <c r="O30">
        <v>67.169011597103662</v>
      </c>
      <c r="P30">
        <v>97.223556537611685</v>
      </c>
      <c r="Q30">
        <v>87.393181217513884</v>
      </c>
      <c r="R30">
        <v>96.241457858769934</v>
      </c>
      <c r="S30">
        <v>85.39004840885643</v>
      </c>
      <c r="T30">
        <v>67.394714613249675</v>
      </c>
      <c r="U30">
        <v>90.206185567010309</v>
      </c>
      <c r="V30">
        <v>92.66021544641228</v>
      </c>
      <c r="W30">
        <v>98.180029513034924</v>
      </c>
      <c r="X30">
        <v>95.228588540626873</v>
      </c>
      <c r="Y30">
        <v>97.039946355014834</v>
      </c>
      <c r="Z30">
        <v>93.616036769917969</v>
      </c>
      <c r="AA30">
        <v>96.818431157432798</v>
      </c>
      <c r="AB30">
        <v>75.967583125047341</v>
      </c>
      <c r="AC30">
        <v>94.372444985648428</v>
      </c>
      <c r="AD30">
        <v>96.228745131566441</v>
      </c>
      <c r="AE30">
        <v>79.882169468029815</v>
      </c>
      <c r="AF30">
        <v>97.586370089919541</v>
      </c>
      <c r="AG30">
        <v>95.811764705882354</v>
      </c>
      <c r="AH30">
        <v>99.969081727300832</v>
      </c>
      <c r="AI30">
        <v>104.06802589622187</v>
      </c>
      <c r="AJ30">
        <v>95.349644282491752</v>
      </c>
      <c r="AK30">
        <v>80.201415748376263</v>
      </c>
      <c r="AL30">
        <v>63.779372079247018</v>
      </c>
      <c r="AM30">
        <v>92.542372881355945</v>
      </c>
      <c r="AN30">
        <v>82.503796186941116</v>
      </c>
    </row>
    <row r="31" spans="1:40">
      <c r="A31" s="1">
        <f t="shared" si="0"/>
        <v>43770</v>
      </c>
      <c r="B31">
        <v>105.1</v>
      </c>
      <c r="C31">
        <v>123.7</v>
      </c>
      <c r="D31">
        <v>120</v>
      </c>
      <c r="E31" s="21">
        <v>100</v>
      </c>
      <c r="F31">
        <v>90.18</v>
      </c>
      <c r="G31">
        <v>103.3</v>
      </c>
      <c r="H31">
        <v>110.1</v>
      </c>
      <c r="I31">
        <v>95.852609366122877</v>
      </c>
      <c r="J31" s="29">
        <v>37.12445296749766</v>
      </c>
      <c r="K31" s="29">
        <v>89.888400405816711</v>
      </c>
      <c r="L31" s="29">
        <v>87.685420872465556</v>
      </c>
      <c r="M31">
        <v>82.8</v>
      </c>
      <c r="N31">
        <v>98.232750517014466</v>
      </c>
      <c r="O31">
        <v>65.520692294107249</v>
      </c>
      <c r="P31">
        <v>97.031415121529449</v>
      </c>
      <c r="Q31">
        <v>87.040789357765831</v>
      </c>
      <c r="R31">
        <v>96.526195899772205</v>
      </c>
      <c r="S31">
        <v>87.612094278231893</v>
      </c>
      <c r="T31">
        <v>66.006998913961624</v>
      </c>
      <c r="U31">
        <v>80.81737849779087</v>
      </c>
      <c r="V31">
        <v>92.47763374109914</v>
      </c>
      <c r="W31">
        <v>96.80275454992622</v>
      </c>
      <c r="X31">
        <v>94.330205629866242</v>
      </c>
      <c r="Y31">
        <v>96.944151738672289</v>
      </c>
      <c r="Z31">
        <v>93.616036769917969</v>
      </c>
      <c r="AA31">
        <v>96.727006765404994</v>
      </c>
      <c r="AB31">
        <v>74.074074074074076</v>
      </c>
      <c r="AC31">
        <v>94.981299469426816</v>
      </c>
      <c r="AD31">
        <v>96.513726607770494</v>
      </c>
      <c r="AE31">
        <v>81.961531796915622</v>
      </c>
      <c r="AF31">
        <v>97.681022243256038</v>
      </c>
      <c r="AG31">
        <v>95.811764705882354</v>
      </c>
      <c r="AH31">
        <v>99.247655364320309</v>
      </c>
      <c r="AI31">
        <v>103.9713982027249</v>
      </c>
      <c r="AJ31">
        <v>94.568800971716115</v>
      </c>
      <c r="AK31">
        <v>79.179741662409683</v>
      </c>
      <c r="AL31">
        <v>61.804778516422033</v>
      </c>
      <c r="AM31">
        <v>92.542372881355945</v>
      </c>
      <c r="AN31">
        <v>82.756875316348911</v>
      </c>
    </row>
    <row r="32" spans="1:40">
      <c r="A32" s="1">
        <f t="shared" si="0"/>
        <v>43800</v>
      </c>
      <c r="B32">
        <v>104.6</v>
      </c>
      <c r="C32">
        <v>123.9</v>
      </c>
      <c r="D32">
        <v>120.1</v>
      </c>
      <c r="E32" s="21">
        <v>102.2</v>
      </c>
      <c r="F32">
        <v>91.52</v>
      </c>
      <c r="G32">
        <v>104</v>
      </c>
      <c r="H32">
        <v>110.5</v>
      </c>
      <c r="I32">
        <v>101.45280415550685</v>
      </c>
      <c r="J32" s="29">
        <v>36.485223976004328</v>
      </c>
      <c r="K32" s="29">
        <v>86.608048698004751</v>
      </c>
      <c r="L32" s="29">
        <v>88.82647239533047</v>
      </c>
      <c r="M32">
        <v>82.8</v>
      </c>
      <c r="N32">
        <v>98.514758413235555</v>
      </c>
      <c r="O32">
        <v>65.461823747571671</v>
      </c>
      <c r="P32">
        <v>96.743202997406101</v>
      </c>
      <c r="Q32">
        <v>86.688397498017807</v>
      </c>
      <c r="R32">
        <v>96.621108580106295</v>
      </c>
      <c r="S32">
        <v>88.326323307673988</v>
      </c>
      <c r="T32">
        <v>65.403644262097259</v>
      </c>
      <c r="U32">
        <v>77.8105056455572</v>
      </c>
      <c r="V32">
        <v>92.66021544641228</v>
      </c>
      <c r="W32">
        <v>96.40924741760945</v>
      </c>
      <c r="X32">
        <v>95.02894789379117</v>
      </c>
      <c r="Y32">
        <v>95.986205575246672</v>
      </c>
      <c r="Z32">
        <v>92.121696276877032</v>
      </c>
      <c r="AA32">
        <v>96.544157981349414</v>
      </c>
      <c r="AB32">
        <v>73.69537226387942</v>
      </c>
      <c r="AC32">
        <v>93.763590501870056</v>
      </c>
      <c r="AD32">
        <v>96.418732782369148</v>
      </c>
      <c r="AE32">
        <v>82.741292670247802</v>
      </c>
      <c r="AF32">
        <v>97.586370089919541</v>
      </c>
      <c r="AG32">
        <v>95.623529411764707</v>
      </c>
      <c r="AH32">
        <v>99.144594455323087</v>
      </c>
      <c r="AI32">
        <v>103.58488742873709</v>
      </c>
      <c r="AJ32">
        <v>93.787957660940478</v>
      </c>
      <c r="AK32">
        <v>78.158067576443102</v>
      </c>
      <c r="AL32">
        <v>60.554202593299543</v>
      </c>
      <c r="AM32">
        <v>92.288135593220346</v>
      </c>
      <c r="AN32">
        <v>83.009954445756705</v>
      </c>
    </row>
    <row r="33" spans="1:40">
      <c r="A33" s="1">
        <f t="shared" si="0"/>
        <v>43831</v>
      </c>
      <c r="B33">
        <v>104.7</v>
      </c>
      <c r="C33">
        <v>123.7</v>
      </c>
      <c r="D33">
        <v>120.1</v>
      </c>
      <c r="E33" s="21">
        <v>101.2</v>
      </c>
      <c r="F33">
        <v>92.12</v>
      </c>
      <c r="G33">
        <v>103.4</v>
      </c>
      <c r="H33">
        <v>110.5</v>
      </c>
      <c r="I33">
        <v>105.26742959175391</v>
      </c>
      <c r="J33" s="29">
        <v>32.403992722623791</v>
      </c>
      <c r="K33" s="29">
        <v>96.41528576259725</v>
      </c>
      <c r="L33" s="29">
        <v>88.124286842798213</v>
      </c>
      <c r="M33">
        <v>82.3</v>
      </c>
      <c r="N33">
        <v>98.890768941530354</v>
      </c>
      <c r="O33">
        <v>66.285983399069863</v>
      </c>
      <c r="P33">
        <v>97.703910077817284</v>
      </c>
      <c r="Q33">
        <v>86.071711743458735</v>
      </c>
      <c r="R33">
        <v>98.139711465451782</v>
      </c>
      <c r="S33">
        <v>89.437346242361713</v>
      </c>
      <c r="T33">
        <v>66.36901170508024</v>
      </c>
      <c r="U33">
        <v>87.076583210603829</v>
      </c>
      <c r="V33">
        <v>92.934088004381962</v>
      </c>
      <c r="W33">
        <v>99.065420560747668</v>
      </c>
      <c r="X33">
        <v>94.030744659612694</v>
      </c>
      <c r="Y33">
        <v>97.327330204042525</v>
      </c>
      <c r="Z33">
        <v>90.978965311610423</v>
      </c>
      <c r="AA33">
        <v>96.909855549460588</v>
      </c>
      <c r="AB33">
        <v>72.710747557373324</v>
      </c>
      <c r="AC33">
        <v>92.197964686439946</v>
      </c>
      <c r="AD33">
        <v>97.368671036382636</v>
      </c>
      <c r="AE33">
        <v>83.174493155432344</v>
      </c>
      <c r="AF33">
        <v>98.627543776620925</v>
      </c>
      <c r="AG33">
        <v>96.941176470588232</v>
      </c>
      <c r="AH33">
        <v>99.350716273317531</v>
      </c>
      <c r="AI33">
        <v>103.39163204174316</v>
      </c>
      <c r="AJ33">
        <v>95.783446121811551</v>
      </c>
      <c r="AK33">
        <v>78.668904619426399</v>
      </c>
      <c r="AL33">
        <v>61.541499374712032</v>
      </c>
      <c r="AM33">
        <v>95</v>
      </c>
      <c r="AN33">
        <v>84.697148641808681</v>
      </c>
    </row>
    <row r="34" spans="1:40">
      <c r="A34" s="1">
        <f t="shared" si="0"/>
        <v>43862</v>
      </c>
      <c r="B34">
        <v>105.5</v>
      </c>
      <c r="C34">
        <v>123.5</v>
      </c>
      <c r="D34">
        <v>120.2</v>
      </c>
      <c r="E34" s="21">
        <v>94.6</v>
      </c>
      <c r="F34">
        <v>87.61</v>
      </c>
      <c r="G34">
        <v>103.9</v>
      </c>
      <c r="H34">
        <v>110.5</v>
      </c>
      <c r="I34">
        <v>106.89067445824202</v>
      </c>
      <c r="J34" s="29">
        <v>25.667502581501697</v>
      </c>
      <c r="K34" s="29">
        <v>93.878931349340561</v>
      </c>
      <c r="L34" s="29">
        <v>87.948740454665156</v>
      </c>
      <c r="M34">
        <v>82.2</v>
      </c>
      <c r="N34">
        <v>97.480729460424882</v>
      </c>
      <c r="O34">
        <v>66.815800317890151</v>
      </c>
      <c r="P34">
        <v>98.47247574214623</v>
      </c>
      <c r="Q34">
        <v>85.543123953836655</v>
      </c>
      <c r="R34">
        <v>97.760060744115407</v>
      </c>
      <c r="S34">
        <v>89.199269899214357</v>
      </c>
      <c r="T34">
        <v>66.972366356944619</v>
      </c>
      <c r="U34">
        <v>92.844869906725592</v>
      </c>
      <c r="V34">
        <v>95.946686142048563</v>
      </c>
      <c r="W34">
        <v>99.163797343826857</v>
      </c>
      <c r="X34">
        <v>93.531643042523456</v>
      </c>
      <c r="Y34">
        <v>97.902097902097907</v>
      </c>
      <c r="Z34">
        <v>91.68218436715911</v>
      </c>
      <c r="AA34">
        <v>96.635582373377204</v>
      </c>
      <c r="AB34">
        <v>73.54389153980155</v>
      </c>
      <c r="AC34">
        <v>91.502130990693232</v>
      </c>
      <c r="AD34">
        <v>98.128621639593433</v>
      </c>
      <c r="AE34">
        <v>83.347773349506156</v>
      </c>
      <c r="AF34">
        <v>98.722195929957408</v>
      </c>
      <c r="AG34">
        <v>97.035294117647055</v>
      </c>
      <c r="AH34">
        <v>99.55683809131196</v>
      </c>
      <c r="AI34">
        <v>103.58488742873709</v>
      </c>
      <c r="AJ34">
        <v>94.482040603852155</v>
      </c>
      <c r="AK34">
        <v>77.063416770050353</v>
      </c>
      <c r="AL34">
        <v>60.817481735009544</v>
      </c>
      <c r="AM34">
        <v>95</v>
      </c>
      <c r="AN34">
        <v>83.937911253585284</v>
      </c>
    </row>
    <row r="35" spans="1:40">
      <c r="A35" s="1">
        <f t="shared" si="0"/>
        <v>43891</v>
      </c>
      <c r="B35">
        <v>105.3</v>
      </c>
      <c r="C35">
        <v>123.3</v>
      </c>
      <c r="D35">
        <v>120.3</v>
      </c>
      <c r="E35" s="21">
        <v>81.5</v>
      </c>
      <c r="F35">
        <v>81.42</v>
      </c>
      <c r="G35">
        <v>103.2</v>
      </c>
      <c r="H35">
        <v>111.4</v>
      </c>
      <c r="I35">
        <v>104.78045613180748</v>
      </c>
      <c r="J35" s="29">
        <v>21.586271328121157</v>
      </c>
      <c r="K35" s="29">
        <v>67.568481569157939</v>
      </c>
      <c r="L35" s="29">
        <v>88.475379619064341</v>
      </c>
      <c r="M35">
        <v>82.2</v>
      </c>
      <c r="N35">
        <v>97.29272419627749</v>
      </c>
      <c r="O35">
        <v>66.109377759463115</v>
      </c>
      <c r="P35">
        <v>98.376405034105119</v>
      </c>
      <c r="Q35">
        <v>85.719319883710682</v>
      </c>
      <c r="R35">
        <v>99.088838268792713</v>
      </c>
      <c r="S35">
        <v>87.612094278231893</v>
      </c>
      <c r="T35">
        <v>66.670689031012429</v>
      </c>
      <c r="U35">
        <v>89.715267550319098</v>
      </c>
      <c r="V35">
        <v>95.216359320796059</v>
      </c>
      <c r="W35">
        <v>96.80275454992622</v>
      </c>
      <c r="X35">
        <v>94.430025953284087</v>
      </c>
      <c r="Y35">
        <v>98.189481751125584</v>
      </c>
      <c r="Z35">
        <v>91.242672457441188</v>
      </c>
      <c r="AA35">
        <v>96.544157981349414</v>
      </c>
      <c r="AB35">
        <v>72.635007195334396</v>
      </c>
      <c r="AC35">
        <v>92.197964686439946</v>
      </c>
      <c r="AD35">
        <v>98.223615464994779</v>
      </c>
      <c r="AE35">
        <v>83.26113325246925</v>
      </c>
      <c r="AF35">
        <v>98.154283009938482</v>
      </c>
      <c r="AG35">
        <v>96.28235294117647</v>
      </c>
      <c r="AH35">
        <v>99.659899000309181</v>
      </c>
      <c r="AI35">
        <v>103.39163204174316</v>
      </c>
      <c r="AJ35">
        <v>95.349644282491752</v>
      </c>
      <c r="AK35">
        <v>77.428300372181269</v>
      </c>
      <c r="AL35">
        <v>60.093464095307041</v>
      </c>
      <c r="AM35">
        <v>95.677966101694921</v>
      </c>
      <c r="AN35">
        <v>84.359709802598275</v>
      </c>
    </row>
    <row r="36" spans="1:40">
      <c r="A36" s="1">
        <f t="shared" si="0"/>
        <v>43922</v>
      </c>
      <c r="B36">
        <v>105.5</v>
      </c>
      <c r="C36">
        <v>123.6</v>
      </c>
      <c r="D36">
        <v>120.8</v>
      </c>
      <c r="E36" s="21">
        <v>70.3</v>
      </c>
      <c r="F36">
        <v>76.16</v>
      </c>
      <c r="G36">
        <v>102.7</v>
      </c>
      <c r="H36">
        <v>111.4</v>
      </c>
      <c r="I36">
        <v>100.80350620891161</v>
      </c>
      <c r="J36" s="29">
        <v>18.980183901263707</v>
      </c>
      <c r="K36" s="29">
        <v>50.96381467703754</v>
      </c>
      <c r="L36" s="29">
        <v>88.387606424997813</v>
      </c>
      <c r="M36">
        <v>81.7</v>
      </c>
      <c r="N36">
        <v>96.540703139687906</v>
      </c>
      <c r="O36">
        <v>65.991640666391945</v>
      </c>
      <c r="P36">
        <v>99.721394946680761</v>
      </c>
      <c r="Q36">
        <v>86.42410360320676</v>
      </c>
      <c r="R36">
        <v>96.621108580106295</v>
      </c>
      <c r="S36">
        <v>88.485040869772234</v>
      </c>
      <c r="T36">
        <v>66.610353565826003</v>
      </c>
      <c r="U36">
        <v>69.648993618065788</v>
      </c>
      <c r="V36">
        <v>95.672813584078881</v>
      </c>
      <c r="W36">
        <v>100.54107230693558</v>
      </c>
      <c r="X36">
        <v>93.332002395687766</v>
      </c>
      <c r="Y36">
        <v>99.722195612606555</v>
      </c>
      <c r="Z36">
        <v>89.924136728287408</v>
      </c>
      <c r="AA36">
        <v>96.452733589321625</v>
      </c>
      <c r="AB36">
        <v>68.469287283193211</v>
      </c>
      <c r="AC36">
        <v>91.76306862659824</v>
      </c>
      <c r="AD36">
        <v>98.413603115797471</v>
      </c>
      <c r="AE36">
        <v>82.827932767284707</v>
      </c>
      <c r="AF36">
        <v>97.302413629910077</v>
      </c>
      <c r="AG36">
        <v>96.188235294117646</v>
      </c>
      <c r="AH36">
        <v>100.07214263629804</v>
      </c>
      <c r="AI36">
        <v>103.19837665474925</v>
      </c>
      <c r="AJ36">
        <v>96.564289432587188</v>
      </c>
      <c r="AK36">
        <v>77.501277092607452</v>
      </c>
      <c r="AL36">
        <v>60.159283880734549</v>
      </c>
      <c r="AM36">
        <v>96.016949152542381</v>
      </c>
      <c r="AN36">
        <v>84.022270963387882</v>
      </c>
    </row>
    <row r="37" spans="1:40">
      <c r="A37" s="1">
        <f t="shared" si="0"/>
        <v>43952</v>
      </c>
      <c r="B37">
        <v>104.9</v>
      </c>
      <c r="C37">
        <v>123.8</v>
      </c>
      <c r="D37">
        <v>121.4</v>
      </c>
      <c r="E37" s="21">
        <v>72.900000000000006</v>
      </c>
      <c r="F37">
        <v>73.069999999999993</v>
      </c>
      <c r="G37">
        <v>103.1</v>
      </c>
      <c r="H37">
        <v>111.4</v>
      </c>
      <c r="I37">
        <v>92.362632903173449</v>
      </c>
      <c r="J37" s="29">
        <v>14.456409499926242</v>
      </c>
      <c r="K37" s="29">
        <v>55.393980385525879</v>
      </c>
      <c r="L37" s="29">
        <v>88.03651364873167</v>
      </c>
      <c r="M37">
        <v>81.8</v>
      </c>
      <c r="N37">
        <v>98.13874788494077</v>
      </c>
      <c r="O37">
        <v>65.520692294107249</v>
      </c>
      <c r="P37">
        <v>100.20174848688634</v>
      </c>
      <c r="Q37">
        <v>84.574046339529559</v>
      </c>
      <c r="R37">
        <v>96.810933940774476</v>
      </c>
      <c r="S37">
        <v>88.405682088723125</v>
      </c>
      <c r="T37">
        <v>65.825992518402316</v>
      </c>
      <c r="U37">
        <v>67.439862542955339</v>
      </c>
      <c r="V37">
        <v>95.398941026109185</v>
      </c>
      <c r="W37">
        <v>100.34431874077718</v>
      </c>
      <c r="X37">
        <v>94.130564983030538</v>
      </c>
      <c r="Y37">
        <v>99.147427914551201</v>
      </c>
      <c r="Z37">
        <v>90.451551019948923</v>
      </c>
      <c r="AA37">
        <v>96.727006765404994</v>
      </c>
      <c r="AB37">
        <v>64.000605922896312</v>
      </c>
      <c r="AC37">
        <v>92.197964686439946</v>
      </c>
      <c r="AD37">
        <v>98.698584592001524</v>
      </c>
      <c r="AE37">
        <v>82.308092185063259</v>
      </c>
      <c r="AF37">
        <v>97.397065783246575</v>
      </c>
      <c r="AG37">
        <v>96.376470588235293</v>
      </c>
      <c r="AH37">
        <v>99.041533546325866</v>
      </c>
      <c r="AI37">
        <v>103.48825973524012</v>
      </c>
      <c r="AJ37">
        <v>95.523165018219672</v>
      </c>
      <c r="AK37">
        <v>78.741881339852583</v>
      </c>
      <c r="AL37">
        <v>62.594615941552021</v>
      </c>
      <c r="AM37">
        <v>95.423728813559322</v>
      </c>
      <c r="AN37">
        <v>84.697148641808681</v>
      </c>
    </row>
    <row r="38" spans="1:40">
      <c r="A38" s="1">
        <f t="shared" si="0"/>
        <v>43983</v>
      </c>
      <c r="B38">
        <v>103</v>
      </c>
      <c r="C38">
        <v>124</v>
      </c>
      <c r="D38">
        <v>121.9</v>
      </c>
      <c r="E38" s="21">
        <v>77.5</v>
      </c>
      <c r="F38">
        <v>75.540000000000006</v>
      </c>
      <c r="G38">
        <v>104</v>
      </c>
      <c r="H38">
        <v>107.5</v>
      </c>
      <c r="I38">
        <v>87.087087087087085</v>
      </c>
      <c r="J38" s="29">
        <v>12.096179377489305</v>
      </c>
      <c r="K38" s="29">
        <v>74.737910043963481</v>
      </c>
      <c r="L38" s="29">
        <v>87.509874484332485</v>
      </c>
      <c r="M38">
        <v>81.8</v>
      </c>
      <c r="N38">
        <v>99.07877420567776</v>
      </c>
      <c r="O38">
        <v>64.578795549537887</v>
      </c>
      <c r="P38">
        <v>99.241041406475162</v>
      </c>
      <c r="Q38">
        <v>82.988282970663377</v>
      </c>
      <c r="R38">
        <v>97.285497342444941</v>
      </c>
      <c r="S38">
        <v>87.532735497182756</v>
      </c>
      <c r="T38">
        <v>65.162302401351511</v>
      </c>
      <c r="U38">
        <v>74.005891016200295</v>
      </c>
      <c r="V38">
        <v>96.220558700018273</v>
      </c>
      <c r="W38">
        <v>99.262174126906061</v>
      </c>
      <c r="X38">
        <v>95.128768217209014</v>
      </c>
      <c r="Y38">
        <v>99.530606379921451</v>
      </c>
      <c r="Z38">
        <v>90.539453401892501</v>
      </c>
      <c r="AA38">
        <v>97.45840190162734</v>
      </c>
      <c r="AB38">
        <v>65.212451715519194</v>
      </c>
      <c r="AC38">
        <v>91.241193354788209</v>
      </c>
      <c r="AD38">
        <v>98.79357841740287</v>
      </c>
      <c r="AE38">
        <v>80.402010050251263</v>
      </c>
      <c r="AF38">
        <v>97.586370089919541</v>
      </c>
      <c r="AG38">
        <v>96.847058823529423</v>
      </c>
      <c r="AH38">
        <v>101.10275172627021</v>
      </c>
      <c r="AI38">
        <v>103.00512126775534</v>
      </c>
      <c r="AJ38">
        <v>94.915842443171954</v>
      </c>
      <c r="AK38">
        <v>77.574253813033636</v>
      </c>
      <c r="AL38">
        <v>61.146580662147038</v>
      </c>
      <c r="AM38">
        <v>95.33898305084746</v>
      </c>
      <c r="AN38">
        <v>83.937911253585284</v>
      </c>
    </row>
    <row r="39" spans="1:40">
      <c r="A39" s="1">
        <f t="shared" si="0"/>
        <v>44013</v>
      </c>
      <c r="B39">
        <v>102.6</v>
      </c>
      <c r="C39">
        <v>123.8</v>
      </c>
      <c r="D39">
        <v>122.1</v>
      </c>
      <c r="E39" s="21">
        <v>78.8</v>
      </c>
      <c r="F39">
        <v>77.45</v>
      </c>
      <c r="G39">
        <v>104.6</v>
      </c>
      <c r="H39">
        <v>107.5</v>
      </c>
      <c r="I39">
        <v>86.194302410518631</v>
      </c>
      <c r="J39" s="29">
        <v>12.440379603678025</v>
      </c>
      <c r="K39" s="29">
        <v>76.962703249756942</v>
      </c>
      <c r="L39" s="29">
        <v>87.509874484332485</v>
      </c>
      <c r="M39">
        <v>82.1</v>
      </c>
      <c r="N39">
        <v>99.266779469825138</v>
      </c>
      <c r="O39">
        <v>63.578030258432918</v>
      </c>
      <c r="P39">
        <v>99.144970698434051</v>
      </c>
      <c r="Q39">
        <v>82.900185005726357</v>
      </c>
      <c r="R39">
        <v>96.810933940774476</v>
      </c>
      <c r="S39">
        <v>88.485040869772234</v>
      </c>
      <c r="T39">
        <v>64.438276819114279</v>
      </c>
      <c r="U39">
        <v>90.697103583701534</v>
      </c>
      <c r="V39">
        <v>96.494431257987955</v>
      </c>
      <c r="W39">
        <v>99.163797343826857</v>
      </c>
      <c r="X39">
        <v>93.531643042523456</v>
      </c>
      <c r="Y39">
        <v>99.530606379921451</v>
      </c>
      <c r="Z39">
        <v>90.451551019948923</v>
      </c>
      <c r="AA39">
        <v>97.45840190162734</v>
      </c>
      <c r="AB39">
        <v>67.939104748920698</v>
      </c>
      <c r="AC39">
        <v>91.241193354788209</v>
      </c>
      <c r="AD39">
        <v>98.413603115797471</v>
      </c>
      <c r="AE39">
        <v>81.008490729509631</v>
      </c>
      <c r="AF39">
        <v>97.775674396592521</v>
      </c>
      <c r="AG39">
        <v>97.411764705882348</v>
      </c>
      <c r="AH39">
        <v>101.10275172627021</v>
      </c>
      <c r="AI39">
        <v>102.81186588076145</v>
      </c>
      <c r="AJ39">
        <v>96.737810168315107</v>
      </c>
      <c r="AK39">
        <v>76.333649565788505</v>
      </c>
      <c r="AL39">
        <v>60.290923451589542</v>
      </c>
      <c r="AM39">
        <v>95.508474576271198</v>
      </c>
      <c r="AN39">
        <v>82.925594735954107</v>
      </c>
    </row>
    <row r="40" spans="1:40">
      <c r="A40" s="1">
        <f t="shared" si="0"/>
        <v>44044</v>
      </c>
      <c r="B40">
        <v>102.8</v>
      </c>
      <c r="C40">
        <v>123.7</v>
      </c>
      <c r="D40">
        <v>122.4</v>
      </c>
      <c r="E40" s="21">
        <v>77.8</v>
      </c>
      <c r="F40">
        <v>77.11</v>
      </c>
      <c r="G40">
        <v>104.6</v>
      </c>
      <c r="H40">
        <v>107.5</v>
      </c>
      <c r="I40">
        <v>87.817547277006739</v>
      </c>
      <c r="J40" s="29">
        <v>14.603923882578551</v>
      </c>
      <c r="K40" s="29">
        <v>78.186081416283741</v>
      </c>
      <c r="L40" s="29">
        <v>88.475379619064341</v>
      </c>
      <c r="M40">
        <v>82.2</v>
      </c>
      <c r="N40">
        <v>99.07877420567776</v>
      </c>
      <c r="O40">
        <v>63.2248189792194</v>
      </c>
      <c r="P40">
        <v>99.048899990392925</v>
      </c>
      <c r="Q40">
        <v>84.485948374592553</v>
      </c>
      <c r="R40">
        <v>96.905846621108566</v>
      </c>
      <c r="S40">
        <v>87.850170621379263</v>
      </c>
      <c r="T40">
        <v>64.438276819114279</v>
      </c>
      <c r="U40">
        <v>89.715267550319098</v>
      </c>
      <c r="V40">
        <v>95.581522731422325</v>
      </c>
      <c r="W40">
        <v>98.967043777668465</v>
      </c>
      <c r="X40">
        <v>92.932721102016359</v>
      </c>
      <c r="Y40">
        <v>100.00957946163426</v>
      </c>
      <c r="Z40">
        <v>90.275746256061751</v>
      </c>
      <c r="AA40">
        <v>97.824099469738513</v>
      </c>
      <c r="AB40">
        <v>68.393546921154282</v>
      </c>
      <c r="AC40">
        <v>90.197442811168131</v>
      </c>
      <c r="AD40">
        <v>97.558658687185343</v>
      </c>
      <c r="AE40">
        <v>82.741292670247802</v>
      </c>
      <c r="AF40">
        <v>98.816848083293905</v>
      </c>
      <c r="AG40">
        <v>99.294117647058826</v>
      </c>
      <c r="AH40">
        <v>101.20581263526743</v>
      </c>
      <c r="AI40">
        <v>102.42535510677361</v>
      </c>
      <c r="AJ40">
        <v>96.824570536179067</v>
      </c>
      <c r="AK40">
        <v>76.187696124936139</v>
      </c>
      <c r="AL40">
        <v>58.250510103337056</v>
      </c>
      <c r="AM40">
        <v>93.644067796610173</v>
      </c>
      <c r="AN40">
        <v>82.419436477138518</v>
      </c>
    </row>
    <row r="41" spans="1:40">
      <c r="A41" s="1">
        <f t="shared" si="0"/>
        <v>44075</v>
      </c>
      <c r="B41">
        <v>104.4</v>
      </c>
      <c r="C41">
        <v>123.6</v>
      </c>
      <c r="D41">
        <v>122.6</v>
      </c>
      <c r="E41" s="21">
        <v>73.8</v>
      </c>
      <c r="F41">
        <v>75.31</v>
      </c>
      <c r="G41">
        <v>103</v>
      </c>
      <c r="H41">
        <v>108.8</v>
      </c>
      <c r="I41">
        <v>88.142196250304352</v>
      </c>
      <c r="J41" s="29">
        <v>21.487928406352953</v>
      </c>
      <c r="K41" s="29">
        <v>75.797826992740568</v>
      </c>
      <c r="L41" s="29">
        <v>85.403317826735716</v>
      </c>
      <c r="M41">
        <v>82.1</v>
      </c>
      <c r="N41">
        <v>100.11280315848843</v>
      </c>
      <c r="O41">
        <v>63.872372991110844</v>
      </c>
      <c r="P41">
        <v>99.048899990392925</v>
      </c>
      <c r="Q41">
        <v>83.693066690159455</v>
      </c>
      <c r="R41">
        <v>96.716021260440385</v>
      </c>
      <c r="S41">
        <v>88.405682088723125</v>
      </c>
      <c r="T41">
        <v>64.558947749487146</v>
      </c>
      <c r="U41">
        <v>87.506136475208635</v>
      </c>
      <c r="V41">
        <v>95.855395289392007</v>
      </c>
      <c r="W41">
        <v>98.770290211510087</v>
      </c>
      <c r="X41">
        <v>94.230385306448397</v>
      </c>
      <c r="Y41">
        <v>98.955838681866069</v>
      </c>
      <c r="Z41">
        <v>90.36364863800533</v>
      </c>
      <c r="AA41">
        <v>97.45840190162734</v>
      </c>
      <c r="AB41">
        <v>68.469287283193211</v>
      </c>
      <c r="AC41">
        <v>90.632338871009836</v>
      </c>
      <c r="AD41">
        <v>98.033627814192087</v>
      </c>
      <c r="AE41">
        <v>83.001212961358519</v>
      </c>
      <c r="AF41">
        <v>98.343587316611462</v>
      </c>
      <c r="AG41">
        <v>98.635294117647049</v>
      </c>
      <c r="AH41">
        <v>101.41193445326188</v>
      </c>
      <c r="AI41">
        <v>102.32872741327665</v>
      </c>
      <c r="AJ41">
        <v>98.039215686274503</v>
      </c>
      <c r="AK41">
        <v>76.114719404509955</v>
      </c>
      <c r="AL41">
        <v>59.698545382742047</v>
      </c>
      <c r="AM41">
        <v>94.152542372881356</v>
      </c>
      <c r="AN41">
        <v>85.287666610426854</v>
      </c>
    </row>
    <row r="42" spans="1:40">
      <c r="A42" s="1">
        <f t="shared" si="0"/>
        <v>44105</v>
      </c>
      <c r="B42">
        <v>104.1</v>
      </c>
      <c r="C42">
        <v>123.5</v>
      </c>
      <c r="D42">
        <v>122.9</v>
      </c>
      <c r="E42" s="21">
        <v>75.099999999999994</v>
      </c>
      <c r="F42">
        <v>75.069999999999993</v>
      </c>
      <c r="G42">
        <v>102.4</v>
      </c>
      <c r="H42">
        <v>108.8</v>
      </c>
      <c r="I42">
        <v>89.116143170197219</v>
      </c>
      <c r="J42" s="29">
        <v>29.50287653046172</v>
      </c>
      <c r="K42" s="29">
        <v>77.969280222215701</v>
      </c>
      <c r="L42" s="29">
        <v>85.403317826735716</v>
      </c>
      <c r="M42">
        <v>83.8</v>
      </c>
      <c r="N42">
        <v>99.548787366046241</v>
      </c>
      <c r="O42">
        <v>65.167481014893738</v>
      </c>
      <c r="P42">
        <v>98.952829282351814</v>
      </c>
      <c r="Q42">
        <v>84.045458549907508</v>
      </c>
      <c r="R42">
        <v>96.4312832194381</v>
      </c>
      <c r="S42">
        <v>87.691453059281017</v>
      </c>
      <c r="T42">
        <v>65.584650657656567</v>
      </c>
      <c r="U42">
        <v>80.081001472754053</v>
      </c>
      <c r="V42">
        <v>95.307650173452629</v>
      </c>
      <c r="W42">
        <v>98.770290211510087</v>
      </c>
      <c r="X42">
        <v>93.6314633659413</v>
      </c>
      <c r="Y42">
        <v>98.86004406552351</v>
      </c>
      <c r="Z42">
        <v>89.572527200513079</v>
      </c>
      <c r="AA42">
        <v>98.098372645821897</v>
      </c>
      <c r="AB42">
        <v>68.545027645232139</v>
      </c>
      <c r="AC42">
        <v>93.067756806123342</v>
      </c>
      <c r="AD42">
        <v>97.463664861783982</v>
      </c>
      <c r="AE42">
        <v>83.001212961358519</v>
      </c>
      <c r="AF42">
        <v>98.154283009938482</v>
      </c>
      <c r="AG42">
        <v>98.070588235294125</v>
      </c>
      <c r="AH42">
        <v>101.30887354426466</v>
      </c>
      <c r="AI42">
        <v>102.42535510677361</v>
      </c>
      <c r="AJ42">
        <v>98.299496789866382</v>
      </c>
      <c r="AK42">
        <v>76.844486608771803</v>
      </c>
      <c r="AL42">
        <v>61.607319160139532</v>
      </c>
      <c r="AM42">
        <v>93.983050847457633</v>
      </c>
      <c r="AN42">
        <v>83.516112704572294</v>
      </c>
    </row>
    <row r="43" spans="1:40">
      <c r="A43" s="1">
        <f t="shared" si="0"/>
        <v>44136</v>
      </c>
      <c r="B43">
        <v>104.4</v>
      </c>
      <c r="C43">
        <v>123.5</v>
      </c>
      <c r="D43">
        <v>123.2</v>
      </c>
      <c r="E43" s="21">
        <v>77.400000000000006</v>
      </c>
      <c r="F43">
        <v>75.66</v>
      </c>
      <c r="G43">
        <v>102.6</v>
      </c>
      <c r="H43">
        <v>108.8</v>
      </c>
      <c r="I43">
        <v>94.472851229607997</v>
      </c>
      <c r="J43" s="29">
        <v>34.124993853567389</v>
      </c>
      <c r="K43" s="29">
        <v>80.93739180767102</v>
      </c>
      <c r="L43" s="29">
        <v>86.368822961467572</v>
      </c>
      <c r="M43">
        <v>83.7</v>
      </c>
      <c r="N43">
        <v>99.07877420567776</v>
      </c>
      <c r="O43">
        <v>66.285983399069863</v>
      </c>
      <c r="P43">
        <v>98.760687866269578</v>
      </c>
      <c r="Q43">
        <v>83.604968725222449</v>
      </c>
      <c r="R43">
        <v>97.570235383447212</v>
      </c>
      <c r="S43">
        <v>88.405682088723125</v>
      </c>
      <c r="T43">
        <v>65.705321588029449</v>
      </c>
      <c r="U43">
        <v>77.503681885125189</v>
      </c>
      <c r="V43">
        <v>94.851195910169807</v>
      </c>
      <c r="W43">
        <v>97.983275946876532</v>
      </c>
      <c r="X43">
        <v>93.431822719105597</v>
      </c>
      <c r="Y43">
        <v>98.381070983810702</v>
      </c>
      <c r="Z43">
        <v>89.748331964400236</v>
      </c>
      <c r="AA43">
        <v>97.824099469738513</v>
      </c>
      <c r="AB43">
        <v>70.741498144361131</v>
      </c>
      <c r="AC43">
        <v>93.154736018091683</v>
      </c>
      <c r="AD43">
        <v>97.27367721098129</v>
      </c>
      <c r="AE43">
        <v>83.521053543579981</v>
      </c>
      <c r="AF43">
        <v>98.059630856601984</v>
      </c>
      <c r="AG43">
        <v>97.694117647058818</v>
      </c>
      <c r="AH43">
        <v>101.72111718025353</v>
      </c>
      <c r="AI43">
        <v>102.2320997197797</v>
      </c>
      <c r="AJ43">
        <v>98.125976054138462</v>
      </c>
      <c r="AK43">
        <v>77.647230533459833</v>
      </c>
      <c r="AL43">
        <v>62.726255512407022</v>
      </c>
      <c r="AM43">
        <v>93.644067796610173</v>
      </c>
      <c r="AN43">
        <v>83.937911253585284</v>
      </c>
    </row>
    <row r="44" spans="1:40">
      <c r="A44" s="1">
        <f t="shared" si="0"/>
        <v>44166</v>
      </c>
      <c r="B44">
        <v>104.4</v>
      </c>
      <c r="C44">
        <v>123.4</v>
      </c>
      <c r="D44">
        <v>123.4</v>
      </c>
      <c r="E44" s="21">
        <v>81.2</v>
      </c>
      <c r="F44">
        <v>78.48</v>
      </c>
      <c r="G44">
        <v>103.7</v>
      </c>
      <c r="H44">
        <v>108.8</v>
      </c>
      <c r="I44">
        <v>103.88767145523903</v>
      </c>
      <c r="J44" s="29">
        <v>35.501794758322269</v>
      </c>
      <c r="K44" s="29">
        <v>84.005300768173541</v>
      </c>
      <c r="L44" s="29">
        <v>86.807688931800229</v>
      </c>
      <c r="M44">
        <v>83.6</v>
      </c>
      <c r="N44">
        <v>98.420755781161873</v>
      </c>
      <c r="O44">
        <v>68.346382527815379</v>
      </c>
      <c r="P44">
        <v>97.799980785858395</v>
      </c>
      <c r="Q44">
        <v>84.397850409655533</v>
      </c>
      <c r="R44">
        <v>97.949886104783587</v>
      </c>
      <c r="S44">
        <v>91.183239425442423</v>
      </c>
      <c r="T44">
        <v>66.851695426571737</v>
      </c>
      <c r="U44">
        <v>78.853706431026026</v>
      </c>
      <c r="V44">
        <v>97.316048931897029</v>
      </c>
      <c r="W44">
        <v>94.835218888342354</v>
      </c>
      <c r="X44">
        <v>93.531643042523456</v>
      </c>
      <c r="Y44">
        <v>98.093687134783025</v>
      </c>
      <c r="Z44">
        <v>90.539453401892501</v>
      </c>
      <c r="AA44">
        <v>98.098372645821897</v>
      </c>
      <c r="AB44">
        <v>73.619631901840492</v>
      </c>
      <c r="AC44">
        <v>93.32869444202835</v>
      </c>
      <c r="AD44">
        <v>97.748646337988035</v>
      </c>
      <c r="AE44">
        <v>84.474094610985972</v>
      </c>
      <c r="AF44">
        <v>98.248935163274965</v>
      </c>
      <c r="AG44">
        <v>97.882352941176464</v>
      </c>
      <c r="AH44">
        <v>101.51499536225909</v>
      </c>
      <c r="AI44">
        <v>102.2320997197797</v>
      </c>
      <c r="AJ44">
        <v>94.482040603852155</v>
      </c>
      <c r="AK44">
        <v>78.01211413559075</v>
      </c>
      <c r="AL44">
        <v>63.384453366682017</v>
      </c>
      <c r="AM44">
        <v>93.728813559322035</v>
      </c>
      <c r="AN44">
        <v>87.312299645689222</v>
      </c>
    </row>
    <row r="45" spans="1:40">
      <c r="A45" s="1">
        <f t="shared" si="0"/>
        <v>44197</v>
      </c>
      <c r="B45">
        <v>104.5</v>
      </c>
      <c r="C45">
        <v>123.4</v>
      </c>
      <c r="D45">
        <v>123.6</v>
      </c>
      <c r="E45" s="21">
        <v>86.4</v>
      </c>
      <c r="F45">
        <v>80.569999999999993</v>
      </c>
      <c r="G45">
        <v>103.3</v>
      </c>
      <c r="H45">
        <v>108.8</v>
      </c>
      <c r="I45">
        <v>108.18927035143253</v>
      </c>
      <c r="J45" s="29">
        <v>43.02502827359001</v>
      </c>
      <c r="K45" s="29">
        <v>87.475840517659549</v>
      </c>
      <c r="L45" s="29">
        <v>86.807688931800229</v>
      </c>
      <c r="M45">
        <v>88.1</v>
      </c>
      <c r="N45">
        <v>99.454784733972545</v>
      </c>
      <c r="O45">
        <v>77.000058868546532</v>
      </c>
      <c r="P45">
        <v>100.20174848688634</v>
      </c>
      <c r="Q45">
        <v>85.366928023962657</v>
      </c>
      <c r="R45">
        <v>100.32270311313592</v>
      </c>
      <c r="S45">
        <v>90.786445520196821</v>
      </c>
      <c r="T45">
        <v>74.212622179317009</v>
      </c>
      <c r="U45">
        <v>83.271968581246924</v>
      </c>
      <c r="V45">
        <v>98.046375753149547</v>
      </c>
      <c r="W45">
        <v>99.950811608460398</v>
      </c>
      <c r="X45">
        <v>94.230385306448397</v>
      </c>
      <c r="Y45">
        <v>97.710508669412775</v>
      </c>
      <c r="Z45">
        <v>90.978965311610423</v>
      </c>
      <c r="AA45">
        <v>97.824099469738513</v>
      </c>
      <c r="AB45">
        <v>76.800727107475581</v>
      </c>
      <c r="AC45">
        <v>94.198486561711746</v>
      </c>
      <c r="AD45">
        <v>98.413603115797471</v>
      </c>
      <c r="AE45">
        <v>85.946976260613425</v>
      </c>
      <c r="AF45">
        <v>98.911500236630388</v>
      </c>
      <c r="AG45">
        <v>99.10588235294118</v>
      </c>
      <c r="AH45">
        <v>101.51499536225909</v>
      </c>
      <c r="AI45">
        <v>101.55570586530099</v>
      </c>
      <c r="AJ45">
        <v>96.651049800451148</v>
      </c>
      <c r="AK45">
        <v>83.631321608406907</v>
      </c>
      <c r="AL45">
        <v>69.900612124004468</v>
      </c>
      <c r="AM45">
        <v>99.237288135593218</v>
      </c>
      <c r="AN45">
        <v>94.229795849502281</v>
      </c>
    </row>
    <row r="46" spans="1:40">
      <c r="A46" s="1">
        <f t="shared" si="0"/>
        <v>44228</v>
      </c>
      <c r="B46">
        <v>104.5</v>
      </c>
      <c r="C46">
        <v>123.3</v>
      </c>
      <c r="D46">
        <v>123.7</v>
      </c>
      <c r="E46" s="21">
        <v>92.3</v>
      </c>
      <c r="F46">
        <v>83.45</v>
      </c>
      <c r="G46">
        <v>103.6</v>
      </c>
      <c r="H46">
        <v>108.8</v>
      </c>
      <c r="I46">
        <v>111.76040905770635</v>
      </c>
      <c r="J46" s="29">
        <v>47.253773909622851</v>
      </c>
      <c r="K46" s="29">
        <v>96.424912028356985</v>
      </c>
      <c r="L46" s="29">
        <v>88.212060036864742</v>
      </c>
      <c r="M46">
        <v>88.1</v>
      </c>
      <c r="N46">
        <v>99.548787366046241</v>
      </c>
      <c r="O46">
        <v>81.945016777535756</v>
      </c>
      <c r="P46">
        <v>99.913536362762997</v>
      </c>
      <c r="Q46">
        <v>86.688397498017807</v>
      </c>
      <c r="R46">
        <v>100.32270311313592</v>
      </c>
      <c r="S46">
        <v>93.08785017062138</v>
      </c>
      <c r="T46">
        <v>80.668516954265712</v>
      </c>
      <c r="U46">
        <v>87.628865979381459</v>
      </c>
      <c r="V46">
        <v>97.589921489866725</v>
      </c>
      <c r="W46">
        <v>99.557304476143642</v>
      </c>
      <c r="X46">
        <v>95.128768217209014</v>
      </c>
      <c r="Y46">
        <v>98.381070983810702</v>
      </c>
      <c r="Z46">
        <v>92.912817714369297</v>
      </c>
      <c r="AA46">
        <v>97.732675077710724</v>
      </c>
      <c r="AB46">
        <v>81.193668105733551</v>
      </c>
      <c r="AC46">
        <v>96.372966860920243</v>
      </c>
      <c r="AD46">
        <v>98.603590766600178</v>
      </c>
      <c r="AE46">
        <v>87.50649800727777</v>
      </c>
      <c r="AF46">
        <v>99.195456696639852</v>
      </c>
      <c r="AG46">
        <v>99.294117647058826</v>
      </c>
      <c r="AH46">
        <v>101.30887354426466</v>
      </c>
      <c r="AI46">
        <v>101.74896125229492</v>
      </c>
      <c r="AJ46">
        <v>94.221759500260276</v>
      </c>
      <c r="AK46">
        <v>89.834342844632559</v>
      </c>
      <c r="AL46">
        <v>74.837096031066935</v>
      </c>
      <c r="AM46">
        <v>99.576271186440678</v>
      </c>
      <c r="AN46">
        <v>94.398515269107477</v>
      </c>
    </row>
    <row r="47" spans="1:40">
      <c r="A47" s="1">
        <f t="shared" si="0"/>
        <v>44256</v>
      </c>
      <c r="B47">
        <v>107.6</v>
      </c>
      <c r="C47">
        <v>123.3</v>
      </c>
      <c r="D47">
        <v>123.9</v>
      </c>
      <c r="E47" s="21">
        <v>94.9</v>
      </c>
      <c r="F47">
        <v>85.87</v>
      </c>
      <c r="G47">
        <v>103.4</v>
      </c>
      <c r="H47">
        <v>109.5</v>
      </c>
      <c r="I47">
        <v>110.46181316451586</v>
      </c>
      <c r="J47" s="29">
        <v>42.38579928209667</v>
      </c>
      <c r="K47" s="29">
        <v>99.707901538530166</v>
      </c>
      <c r="L47" s="29">
        <v>88.82647239533047</v>
      </c>
      <c r="M47">
        <v>88.2</v>
      </c>
      <c r="N47">
        <v>99.830795262267344</v>
      </c>
      <c r="O47">
        <v>85.123918290457397</v>
      </c>
      <c r="P47">
        <v>100.68210202709194</v>
      </c>
      <c r="Q47">
        <v>89.507532376002104</v>
      </c>
      <c r="R47">
        <v>99.183750949126789</v>
      </c>
      <c r="S47">
        <v>94.119514324259981</v>
      </c>
      <c r="T47">
        <v>84.831664052129838</v>
      </c>
      <c r="U47">
        <v>93.335787923416788</v>
      </c>
      <c r="V47">
        <v>99.507029395654556</v>
      </c>
      <c r="W47">
        <v>99.557304476143642</v>
      </c>
      <c r="X47">
        <v>94.230385306448397</v>
      </c>
      <c r="Y47">
        <v>99.24322253089376</v>
      </c>
      <c r="Z47">
        <v>93.440232006030797</v>
      </c>
      <c r="AA47">
        <v>98.006948253794107</v>
      </c>
      <c r="AB47">
        <v>91.191395894872386</v>
      </c>
      <c r="AC47">
        <v>96.372966860920243</v>
      </c>
      <c r="AD47">
        <v>99.933504322219065</v>
      </c>
      <c r="AE47">
        <v>90.278981112458851</v>
      </c>
      <c r="AF47">
        <v>99.100804543303369</v>
      </c>
      <c r="AG47">
        <v>99.10588235294118</v>
      </c>
      <c r="AH47">
        <v>100.8966299082758</v>
      </c>
      <c r="AI47">
        <v>101.55570586530099</v>
      </c>
      <c r="AJ47">
        <v>94.221759500260276</v>
      </c>
      <c r="AK47">
        <v>90.199226446763475</v>
      </c>
      <c r="AL47">
        <v>76.943329164746928</v>
      </c>
      <c r="AM47">
        <v>99.66101694915254</v>
      </c>
      <c r="AN47">
        <v>98.785220178842579</v>
      </c>
    </row>
    <row r="48" spans="1:40">
      <c r="A48" s="1">
        <f t="shared" si="0"/>
        <v>44287</v>
      </c>
      <c r="B48">
        <v>107.8</v>
      </c>
      <c r="C48">
        <v>123</v>
      </c>
      <c r="D48">
        <v>123.6</v>
      </c>
      <c r="E48" s="21">
        <v>92.2</v>
      </c>
      <c r="F48">
        <v>85.2</v>
      </c>
      <c r="G48">
        <v>103.5</v>
      </c>
      <c r="H48">
        <v>109.5</v>
      </c>
      <c r="I48">
        <v>106.07905202499796</v>
      </c>
      <c r="J48" s="29">
        <v>44.893543787185912</v>
      </c>
      <c r="K48" s="29">
        <v>97.252541983489749</v>
      </c>
      <c r="L48" s="29">
        <v>92.074080575792166</v>
      </c>
      <c r="M48">
        <v>94.5</v>
      </c>
      <c r="N48">
        <v>100.01880052641474</v>
      </c>
      <c r="O48">
        <v>87.949608524165541</v>
      </c>
      <c r="P48">
        <v>100.10567777884523</v>
      </c>
      <c r="Q48">
        <v>95.23390009690776</v>
      </c>
      <c r="R48">
        <v>98.329536826119963</v>
      </c>
      <c r="S48">
        <v>94.83374335370209</v>
      </c>
      <c r="T48">
        <v>87.969108241824557</v>
      </c>
      <c r="U48">
        <v>96.833578792341683</v>
      </c>
      <c r="V48">
        <v>100.14606536425052</v>
      </c>
      <c r="W48">
        <v>99.950811608460398</v>
      </c>
      <c r="X48">
        <v>97.32481533240167</v>
      </c>
      <c r="Y48">
        <v>99.051633298208642</v>
      </c>
      <c r="Z48">
        <v>93.616036769917969</v>
      </c>
      <c r="AA48">
        <v>99.104040958127626</v>
      </c>
      <c r="AB48">
        <v>102.02226766643943</v>
      </c>
      <c r="AC48">
        <v>98.199530312255376</v>
      </c>
      <c r="AD48">
        <v>99.45853519521232</v>
      </c>
      <c r="AE48">
        <v>93.917865188009017</v>
      </c>
      <c r="AF48">
        <v>99.195456696639852</v>
      </c>
      <c r="AG48">
        <v>99.10588235294118</v>
      </c>
      <c r="AH48">
        <v>98.526229001339786</v>
      </c>
      <c r="AI48">
        <v>101.94221663928883</v>
      </c>
      <c r="AJ48">
        <v>94.829082075307994</v>
      </c>
      <c r="AK48">
        <v>92.023644457418072</v>
      </c>
      <c r="AL48">
        <v>87.73777397485685</v>
      </c>
      <c r="AM48">
        <v>99.830508474576277</v>
      </c>
      <c r="AN48">
        <v>99.207018727855569</v>
      </c>
    </row>
    <row r="49" spans="1:40">
      <c r="A49" s="1">
        <f t="shared" si="0"/>
        <v>44317</v>
      </c>
      <c r="B49">
        <v>107.2</v>
      </c>
      <c r="C49">
        <v>122.7</v>
      </c>
      <c r="D49">
        <v>123.3</v>
      </c>
      <c r="E49" s="21">
        <v>95.3</v>
      </c>
      <c r="F49">
        <v>86.16</v>
      </c>
      <c r="G49">
        <v>104.4</v>
      </c>
      <c r="H49">
        <v>109.5</v>
      </c>
      <c r="I49">
        <v>96.907718529340158</v>
      </c>
      <c r="J49" s="29">
        <v>52.957663372178786</v>
      </c>
      <c r="K49" s="29">
        <v>96.963473724732353</v>
      </c>
      <c r="L49" s="29">
        <v>94.443956815588521</v>
      </c>
      <c r="M49">
        <v>94.9</v>
      </c>
      <c r="N49">
        <v>99.642789998119937</v>
      </c>
      <c r="O49">
        <v>90.363218932124568</v>
      </c>
      <c r="P49">
        <v>100.00960707080411</v>
      </c>
      <c r="Q49">
        <v>98.405426834640124</v>
      </c>
      <c r="R49">
        <v>98.139711465451782</v>
      </c>
      <c r="S49">
        <v>95.944766288389815</v>
      </c>
      <c r="T49">
        <v>89.236153010739713</v>
      </c>
      <c r="U49">
        <v>95.790378006872857</v>
      </c>
      <c r="V49">
        <v>99.141865985028303</v>
      </c>
      <c r="W49">
        <v>99.655681259222831</v>
      </c>
      <c r="X49">
        <v>98.023557596326611</v>
      </c>
      <c r="Y49">
        <v>100.77593639237475</v>
      </c>
      <c r="Z49">
        <v>95.901498700451171</v>
      </c>
      <c r="AA49">
        <v>98.829767782044229</v>
      </c>
      <c r="AB49">
        <v>105.50632432023026</v>
      </c>
      <c r="AC49">
        <v>98.634426372097082</v>
      </c>
      <c r="AD49">
        <v>99.838510496817705</v>
      </c>
      <c r="AE49">
        <v>96.517068099116287</v>
      </c>
      <c r="AF49">
        <v>98.911500236630388</v>
      </c>
      <c r="AG49">
        <v>99.10588235294118</v>
      </c>
      <c r="AH49">
        <v>100.48438627228691</v>
      </c>
      <c r="AI49">
        <v>99.816407382355791</v>
      </c>
      <c r="AJ49">
        <v>96.564289432587188</v>
      </c>
      <c r="AK49">
        <v>93.264248704663203</v>
      </c>
      <c r="AL49">
        <v>90.56802474823931</v>
      </c>
      <c r="AM49">
        <v>99.915254237288153</v>
      </c>
      <c r="AN49">
        <v>100.47241437489454</v>
      </c>
    </row>
    <row r="50" spans="1:40">
      <c r="A50" s="1">
        <f t="shared" si="0"/>
        <v>44348</v>
      </c>
      <c r="B50">
        <v>107.8</v>
      </c>
      <c r="C50">
        <v>122.5</v>
      </c>
      <c r="D50">
        <v>123</v>
      </c>
      <c r="E50" s="21">
        <v>97.5</v>
      </c>
      <c r="F50">
        <v>87.65</v>
      </c>
      <c r="G50">
        <v>105</v>
      </c>
      <c r="H50">
        <v>110.6</v>
      </c>
      <c r="I50">
        <v>90.090090090090087</v>
      </c>
      <c r="J50" s="29">
        <v>63.775384766681412</v>
      </c>
      <c r="K50" s="29">
        <v>100.23097743532924</v>
      </c>
      <c r="L50" s="29">
        <v>101.11471956464496</v>
      </c>
      <c r="M50">
        <v>95.2</v>
      </c>
      <c r="N50">
        <v>99.266779469825138</v>
      </c>
      <c r="O50">
        <v>98.722552540177773</v>
      </c>
      <c r="P50">
        <v>100.00960707080411</v>
      </c>
      <c r="Q50">
        <v>102.81032508149062</v>
      </c>
      <c r="R50">
        <v>98.614274867122248</v>
      </c>
      <c r="S50">
        <v>97.214506785175786</v>
      </c>
      <c r="T50">
        <v>97.381440810908657</v>
      </c>
      <c r="U50">
        <v>96.097201767304867</v>
      </c>
      <c r="V50">
        <v>97.498630637210155</v>
      </c>
      <c r="W50">
        <v>99.458927693064439</v>
      </c>
      <c r="X50">
        <v>99.121581153922932</v>
      </c>
      <c r="Y50">
        <v>100.00957946163426</v>
      </c>
      <c r="Z50">
        <v>96.780522519887029</v>
      </c>
      <c r="AA50">
        <v>99.926860486377748</v>
      </c>
      <c r="AB50">
        <v>103.9157767174127</v>
      </c>
      <c r="AC50">
        <v>99.330260067843795</v>
      </c>
      <c r="AD50">
        <v>99.553529020613666</v>
      </c>
      <c r="AE50">
        <v>100.84907295096171</v>
      </c>
      <c r="AF50">
        <v>99.100804543303369</v>
      </c>
      <c r="AG50">
        <v>99.294117647058826</v>
      </c>
      <c r="AH50">
        <v>99.762959909306389</v>
      </c>
      <c r="AI50">
        <v>98.94675814088319</v>
      </c>
      <c r="AJ50">
        <v>98.299496789866382</v>
      </c>
      <c r="AK50">
        <v>99.905130263445955</v>
      </c>
      <c r="AL50">
        <v>95.175409728164283</v>
      </c>
      <c r="AM50">
        <v>100.08474576271186</v>
      </c>
      <c r="AN50">
        <v>103.25628479838029</v>
      </c>
    </row>
    <row r="51" spans="1:40">
      <c r="A51" s="1">
        <f t="shared" si="0"/>
        <v>44378</v>
      </c>
      <c r="B51">
        <v>108.3</v>
      </c>
      <c r="C51">
        <f>C50</f>
        <v>122.5</v>
      </c>
      <c r="D51">
        <v>123.1</v>
      </c>
      <c r="E51" s="21">
        <v>99.5</v>
      </c>
      <c r="F51">
        <v>89.38</v>
      </c>
      <c r="G51">
        <v>106.6</v>
      </c>
      <c r="H51">
        <v>110.6</v>
      </c>
      <c r="I51">
        <v>90.820550280009741</v>
      </c>
      <c r="J51" s="29">
        <v>75.674878300634319</v>
      </c>
      <c r="K51" s="29">
        <v>104.68228449131354</v>
      </c>
      <c r="L51" s="29">
        <v>105.85447204423768</v>
      </c>
      <c r="M51">
        <v>105</v>
      </c>
      <c r="N51">
        <v>100.30080842263582</v>
      </c>
      <c r="O51">
        <v>109.31889091658326</v>
      </c>
      <c r="P51">
        <v>100.00960707080411</v>
      </c>
      <c r="Q51">
        <v>104.66038234516782</v>
      </c>
      <c r="R51">
        <v>98.804100227790414</v>
      </c>
      <c r="S51">
        <v>98.642964844059989</v>
      </c>
      <c r="T51">
        <v>108.42283094002654</v>
      </c>
      <c r="U51">
        <v>101.37457044673539</v>
      </c>
      <c r="V51">
        <v>99.507029395654556</v>
      </c>
      <c r="W51">
        <v>100.14756517461879</v>
      </c>
      <c r="X51">
        <v>100.61888600519065</v>
      </c>
      <c r="Y51">
        <v>100.00957946163426</v>
      </c>
      <c r="Z51">
        <v>97.923253485153651</v>
      </c>
      <c r="AA51">
        <v>100.10970927043334</v>
      </c>
      <c r="AB51">
        <v>104.3702188896463</v>
      </c>
      <c r="AC51">
        <v>100.28703139949552</v>
      </c>
      <c r="AD51">
        <v>99.648522846015013</v>
      </c>
      <c r="AE51">
        <v>104.14139663836424</v>
      </c>
      <c r="AF51">
        <v>99.952673923331744</v>
      </c>
      <c r="AG51">
        <v>100.04705882352941</v>
      </c>
      <c r="AH51">
        <v>100.17520354529526</v>
      </c>
      <c r="AI51">
        <v>98.463619673398412</v>
      </c>
      <c r="AJ51">
        <v>98.993579732778059</v>
      </c>
      <c r="AK51">
        <v>104.79457053200028</v>
      </c>
      <c r="AL51">
        <v>111.16961758704666</v>
      </c>
      <c r="AM51">
        <v>100.08474576271186</v>
      </c>
      <c r="AN51">
        <v>103.93116247680108</v>
      </c>
    </row>
    <row r="52" spans="1:40">
      <c r="A52" s="1">
        <f t="shared" si="0"/>
        <v>44409</v>
      </c>
      <c r="B52">
        <v>108.2</v>
      </c>
      <c r="C52">
        <v>122.6</v>
      </c>
      <c r="D52">
        <v>123.1</v>
      </c>
      <c r="E52" s="21">
        <v>98.2</v>
      </c>
      <c r="F52">
        <v>88.84</v>
      </c>
      <c r="G52">
        <v>106.7</v>
      </c>
      <c r="H52">
        <v>110.6</v>
      </c>
      <c r="I52">
        <v>90.414739063387714</v>
      </c>
      <c r="J52" s="29">
        <v>93.622461523331864</v>
      </c>
      <c r="K52" s="29">
        <v>103.58316482349619</v>
      </c>
      <c r="L52" s="29">
        <v>107.34661634336874</v>
      </c>
      <c r="M52">
        <v>105.1</v>
      </c>
      <c r="N52">
        <v>101.80485053581499</v>
      </c>
      <c r="O52">
        <v>112.85100370871842</v>
      </c>
      <c r="P52">
        <v>100.77817273513307</v>
      </c>
      <c r="Q52">
        <v>106.68663553871905</v>
      </c>
      <c r="R52">
        <v>99.753227031131345</v>
      </c>
      <c r="S52">
        <v>102.92833902071263</v>
      </c>
      <c r="T52">
        <v>112.10329431639919</v>
      </c>
      <c r="U52">
        <v>103.03141875306825</v>
      </c>
      <c r="V52">
        <v>99.963483658937378</v>
      </c>
      <c r="W52">
        <v>99.36055090998525</v>
      </c>
      <c r="X52">
        <v>101.21780794569774</v>
      </c>
      <c r="Y52">
        <v>101.06332024140242</v>
      </c>
      <c r="Z52">
        <v>97.395839193492122</v>
      </c>
      <c r="AA52">
        <v>100.65825562260009</v>
      </c>
      <c r="AB52">
        <v>103.30985382110127</v>
      </c>
      <c r="AC52">
        <v>99.330260067843795</v>
      </c>
      <c r="AD52">
        <v>99.838510496817705</v>
      </c>
      <c r="AE52">
        <v>106.04747877317624</v>
      </c>
      <c r="AF52">
        <v>100.42593469001419</v>
      </c>
      <c r="AG52">
        <v>100.70588235294117</v>
      </c>
      <c r="AH52">
        <v>98.113985365350914</v>
      </c>
      <c r="AI52">
        <v>99.719779688858836</v>
      </c>
      <c r="AJ52">
        <v>104.71976401179941</v>
      </c>
      <c r="AK52">
        <v>107.20280230606437</v>
      </c>
      <c r="AL52">
        <v>112.68347265187914</v>
      </c>
      <c r="AM52">
        <v>100.2542372881356</v>
      </c>
      <c r="AN52">
        <v>104.85911928462966</v>
      </c>
    </row>
    <row r="53" spans="1:40">
      <c r="A53" s="1">
        <f t="shared" si="0"/>
        <v>44440</v>
      </c>
      <c r="B53">
        <v>108.6</v>
      </c>
      <c r="C53" s="42">
        <v>122.7</v>
      </c>
      <c r="D53">
        <v>123.1</v>
      </c>
      <c r="E53" s="21">
        <v>101.9</v>
      </c>
      <c r="F53">
        <v>89.86</v>
      </c>
      <c r="G53">
        <v>105.4</v>
      </c>
      <c r="H53">
        <v>110.5</v>
      </c>
      <c r="I53">
        <v>90.495901306712113</v>
      </c>
      <c r="J53" s="29">
        <v>122.68279490583664</v>
      </c>
      <c r="K53" s="29">
        <v>105.88777057859708</v>
      </c>
      <c r="L53" s="29">
        <v>108.31212147810059</v>
      </c>
      <c r="M53">
        <v>105.5</v>
      </c>
      <c r="N53">
        <v>99.172776837751456</v>
      </c>
      <c r="O53">
        <v>115.79443103549772</v>
      </c>
      <c r="P53">
        <v>100.48996061100971</v>
      </c>
      <c r="Q53">
        <v>106.33424367897102</v>
      </c>
      <c r="R53">
        <v>100.60744115413819</v>
      </c>
      <c r="S53">
        <v>106.42012538687405</v>
      </c>
      <c r="T53">
        <v>117.8954989742971</v>
      </c>
      <c r="U53">
        <v>106.52920962199313</v>
      </c>
      <c r="V53">
        <v>100.4199379222202</v>
      </c>
      <c r="W53">
        <v>101.52484013772751</v>
      </c>
      <c r="X53">
        <v>103.41385506089038</v>
      </c>
      <c r="Y53">
        <v>100.8717310087173</v>
      </c>
      <c r="Z53">
        <v>98.714374922645902</v>
      </c>
      <c r="AA53">
        <v>101.20680197476686</v>
      </c>
      <c r="AB53">
        <v>103.612815269257</v>
      </c>
      <c r="AC53">
        <v>102.46151169870402</v>
      </c>
      <c r="AD53">
        <v>100.5984611000285</v>
      </c>
      <c r="AE53">
        <v>107.43372032576677</v>
      </c>
      <c r="AF53">
        <v>100.61523899668717</v>
      </c>
      <c r="AG53">
        <v>100.51764705882353</v>
      </c>
      <c r="AH53">
        <v>99.453777182314738</v>
      </c>
      <c r="AI53">
        <v>98.94675814088319</v>
      </c>
      <c r="AJ53">
        <v>102.9845566545202</v>
      </c>
      <c r="AK53">
        <v>109.46508063927607</v>
      </c>
      <c r="AL53">
        <v>118.2123346277891</v>
      </c>
      <c r="AM53">
        <v>100.16949152542374</v>
      </c>
      <c r="AN53">
        <v>104.09988189640627</v>
      </c>
    </row>
    <row r="54" spans="1:40">
      <c r="A54" s="1">
        <f t="shared" si="0"/>
        <v>44470</v>
      </c>
      <c r="B54">
        <v>109</v>
      </c>
      <c r="C54" s="201">
        <v>122.6</v>
      </c>
      <c r="D54">
        <f>D53</f>
        <v>123.1</v>
      </c>
      <c r="E54" s="21">
        <v>113.9</v>
      </c>
      <c r="F54">
        <v>95.65</v>
      </c>
      <c r="G54">
        <v>105.8</v>
      </c>
      <c r="H54">
        <v>110.5</v>
      </c>
      <c r="I54">
        <v>91.875659443227022</v>
      </c>
      <c r="J54" s="29">
        <v>174.16531445149235</v>
      </c>
      <c r="K54" s="29">
        <v>119.53812774342542</v>
      </c>
      <c r="L54" s="29">
        <v>108.66321425436672</v>
      </c>
      <c r="M54">
        <v>111.6</v>
      </c>
      <c r="N54">
        <v>100.01880052641474</v>
      </c>
      <c r="O54">
        <v>113.61629481368104</v>
      </c>
      <c r="P54">
        <v>99.433182822557413</v>
      </c>
      <c r="Q54">
        <v>106.77473350365607</v>
      </c>
      <c r="R54">
        <v>101.17691723614273</v>
      </c>
      <c r="S54">
        <v>108.56281247520039</v>
      </c>
      <c r="T54">
        <v>115.54241583202607</v>
      </c>
      <c r="U54">
        <v>107.94059891998037</v>
      </c>
      <c r="V54">
        <v>101.6980098594121</v>
      </c>
      <c r="W54">
        <v>101.32808657156912</v>
      </c>
      <c r="X54">
        <v>105.41026152924735</v>
      </c>
      <c r="Y54">
        <v>101.15911485774498</v>
      </c>
      <c r="Z54">
        <v>98.186960630984402</v>
      </c>
      <c r="AA54">
        <v>102.02962150301698</v>
      </c>
      <c r="AB54">
        <v>105.58206468226918</v>
      </c>
      <c r="AC54">
        <v>104.89692963381752</v>
      </c>
      <c r="AD54">
        <v>100.88344257623255</v>
      </c>
      <c r="AE54">
        <v>108.30012129613586</v>
      </c>
      <c r="AF54">
        <v>101.18315191670611</v>
      </c>
      <c r="AG54">
        <v>100.98823529411764</v>
      </c>
      <c r="AH54">
        <v>99.969081727300832</v>
      </c>
      <c r="AI54">
        <v>98.94675814088319</v>
      </c>
      <c r="AJ54">
        <v>104.98004511539128</v>
      </c>
      <c r="AK54">
        <v>109.97591768225935</v>
      </c>
      <c r="AL54">
        <v>122.95135917856908</v>
      </c>
      <c r="AM54">
        <v>100.2542372881356</v>
      </c>
      <c r="AN54">
        <v>97.435464822001009</v>
      </c>
    </row>
    <row r="55" spans="1:40">
      <c r="A55" s="1">
        <f t="shared" si="0"/>
        <v>44501</v>
      </c>
      <c r="B55">
        <v>109.1</v>
      </c>
      <c r="C55" s="42">
        <v>122.5</v>
      </c>
      <c r="D55">
        <v>123.1</v>
      </c>
      <c r="E55" s="21">
        <v>115.4</v>
      </c>
      <c r="F55">
        <v>96.6</v>
      </c>
      <c r="G55">
        <v>106.2</v>
      </c>
      <c r="H55">
        <v>110.5</v>
      </c>
      <c r="I55">
        <v>98.206314422530639</v>
      </c>
      <c r="J55" s="29">
        <v>216.45277081182081</v>
      </c>
      <c r="K55" s="38">
        <f>'GAZOLE ROUTIER HTT'!C51</f>
        <v>121.63000065959393</v>
      </c>
      <c r="L55" s="29">
        <v>109.27762661283245</v>
      </c>
      <c r="M55">
        <v>112</v>
      </c>
      <c r="N55">
        <v>100.58281631885691</v>
      </c>
      <c r="O55">
        <v>113.91063754635897</v>
      </c>
      <c r="P55">
        <v>99.625324238639649</v>
      </c>
      <c r="Q55">
        <v>109.24147652189234</v>
      </c>
      <c r="R55">
        <v>101.65148063781319</v>
      </c>
      <c r="S55">
        <v>108.56281247520039</v>
      </c>
      <c r="T55">
        <v>116.02509955351756</v>
      </c>
      <c r="U55">
        <v>115.30436917034856</v>
      </c>
      <c r="V55">
        <v>102.7022092386343</v>
      </c>
      <c r="W55">
        <v>101.13133300541072</v>
      </c>
      <c r="X55">
        <v>106.90756638051506</v>
      </c>
      <c r="Y55">
        <v>101.15911485774498</v>
      </c>
      <c r="Z55">
        <v>98.802277304589495</v>
      </c>
      <c r="AA55">
        <v>102.02962150301698</v>
      </c>
      <c r="AB55">
        <v>111.1111111111111</v>
      </c>
      <c r="AC55">
        <v>104.02713751413413</v>
      </c>
      <c r="AD55">
        <v>101.45340552864064</v>
      </c>
      <c r="AE55">
        <v>108.47340149020968</v>
      </c>
      <c r="AF55">
        <v>101.46710837671557</v>
      </c>
      <c r="AG55">
        <v>101.36470588235295</v>
      </c>
      <c r="AH55">
        <v>100.07214263629804</v>
      </c>
      <c r="AI55">
        <v>99.043385834380146</v>
      </c>
      <c r="AJ55">
        <v>108.97102203713342</v>
      </c>
      <c r="AK55">
        <v>109.82996424140698</v>
      </c>
      <c r="AL55">
        <v>121.10840518659909</v>
      </c>
      <c r="AM55">
        <v>100.2542372881356</v>
      </c>
      <c r="AN55">
        <v>98.700860469039981</v>
      </c>
    </row>
    <row r="56" spans="1:40">
      <c r="A56" s="1">
        <f t="shared" si="0"/>
        <v>44531</v>
      </c>
      <c r="B56">
        <v>109.4</v>
      </c>
      <c r="C56" s="42">
        <v>122.4</v>
      </c>
      <c r="D56">
        <v>123.2</v>
      </c>
      <c r="E56" s="21">
        <v>112.6</v>
      </c>
      <c r="F56">
        <v>94.71</v>
      </c>
      <c r="G56">
        <v>106.7</v>
      </c>
      <c r="H56">
        <v>111.4</v>
      </c>
      <c r="I56">
        <v>114.76341206070937</v>
      </c>
      <c r="J56" s="29">
        <v>223.14008949205882</v>
      </c>
      <c r="K56" s="38">
        <f>'GAZOLE ROUTIER HTT'!C52</f>
        <v>117.58807671987852</v>
      </c>
      <c r="L56" s="29">
        <v>109.01430703063285</v>
      </c>
      <c r="M56">
        <v>112</v>
      </c>
      <c r="N56">
        <v>100.48881368678323</v>
      </c>
      <c r="O56">
        <v>113.3808206275387</v>
      </c>
      <c r="P56">
        <v>98.952829282351814</v>
      </c>
      <c r="Q56">
        <v>108.18430094264822</v>
      </c>
      <c r="R56">
        <v>103.07517084282459</v>
      </c>
      <c r="S56">
        <v>108.72153003729862</v>
      </c>
      <c r="T56">
        <v>115.66308676239893</v>
      </c>
      <c r="U56">
        <v>112.8497790868925</v>
      </c>
      <c r="V56">
        <v>103.79769947051307</v>
      </c>
      <c r="W56">
        <v>98.376783079193316</v>
      </c>
      <c r="X56">
        <v>104.31223797165103</v>
      </c>
      <c r="Y56">
        <v>100.58434715968961</v>
      </c>
      <c r="Z56">
        <v>98.626472540702323</v>
      </c>
      <c r="AA56">
        <v>102.66959224721154</v>
      </c>
      <c r="AB56">
        <v>111.18685147315004</v>
      </c>
      <c r="AC56">
        <v>105.85370096546926</v>
      </c>
      <c r="AD56">
        <v>101.73838700484468</v>
      </c>
      <c r="AE56">
        <v>110.63940391613239</v>
      </c>
      <c r="AF56">
        <v>101.84571699006152</v>
      </c>
      <c r="AG56">
        <v>101.36470588235295</v>
      </c>
      <c r="AH56">
        <v>99.866020818303625</v>
      </c>
      <c r="AI56">
        <v>99.429896608367969</v>
      </c>
      <c r="AJ56">
        <v>104.54624327607148</v>
      </c>
      <c r="AK56">
        <v>109.82996424140698</v>
      </c>
      <c r="AL56">
        <v>118.67307312578161</v>
      </c>
      <c r="AM56">
        <v>100.59322033898306</v>
      </c>
      <c r="AN56">
        <v>100.38805466509196</v>
      </c>
    </row>
    <row r="57" spans="1:40">
      <c r="A57" s="1">
        <f t="shared" si="0"/>
        <v>44562</v>
      </c>
      <c r="B57">
        <v>110.8</v>
      </c>
      <c r="C57" s="42">
        <v>122.6</v>
      </c>
      <c r="D57">
        <v>123.6</v>
      </c>
      <c r="E57" s="21">
        <v>122.5</v>
      </c>
      <c r="F57">
        <v>99.8</v>
      </c>
      <c r="G57">
        <v>106.8</v>
      </c>
      <c r="H57">
        <v>111.4</v>
      </c>
      <c r="I57">
        <v>124.90869247626006</v>
      </c>
      <c r="J57" s="29">
        <v>258.19934110242417</v>
      </c>
      <c r="K57" s="38">
        <f>'GAZOLE ROUTIER HTT'!C53</f>
        <v>133.34803453745306</v>
      </c>
      <c r="L57" s="29">
        <v>110.68199771789695</v>
      </c>
      <c r="M57">
        <v>117.2</v>
      </c>
      <c r="N57">
        <v>103.21489001692046</v>
      </c>
      <c r="O57">
        <v>114.02837463943014</v>
      </c>
      <c r="P57">
        <v>101.54673839946201</v>
      </c>
      <c r="Q57">
        <v>110.03435820632544</v>
      </c>
      <c r="R57">
        <v>116.74259681093393</v>
      </c>
      <c r="S57">
        <v>119.91111816522498</v>
      </c>
      <c r="T57">
        <v>115.96476408833111</v>
      </c>
      <c r="U57">
        <v>111.92930780559648</v>
      </c>
      <c r="V57">
        <v>104.25415373379589</v>
      </c>
      <c r="W57">
        <v>102.9021151008362</v>
      </c>
      <c r="X57">
        <v>110.40127770013974</v>
      </c>
      <c r="Y57">
        <v>106.52361337292844</v>
      </c>
      <c r="Z57">
        <v>99.85710588791251</v>
      </c>
      <c r="AA57">
        <v>104.04095812762844</v>
      </c>
      <c r="AB57">
        <v>117.24608043626449</v>
      </c>
      <c r="AC57">
        <v>114.29068452639819</v>
      </c>
      <c r="AD57">
        <v>104.01823881447706</v>
      </c>
      <c r="AE57">
        <v>114.01836770057183</v>
      </c>
      <c r="AF57">
        <v>104.4013251301467</v>
      </c>
      <c r="AG57">
        <v>104.84705882352942</v>
      </c>
      <c r="AH57">
        <v>100.99969081727301</v>
      </c>
      <c r="AI57">
        <v>99.429896608367969</v>
      </c>
      <c r="AJ57">
        <v>107.66961651917403</v>
      </c>
      <c r="AK57">
        <v>126.6875866598555</v>
      </c>
      <c r="AL57">
        <v>116.10610149410913</v>
      </c>
      <c r="AM57">
        <v>105.84745762711866</v>
      </c>
      <c r="AN57">
        <v>109.83634216298294</v>
      </c>
    </row>
    <row r="58" spans="1:40">
      <c r="A58" s="1">
        <f t="shared" si="0"/>
        <v>44593</v>
      </c>
      <c r="B58">
        <v>111.3</v>
      </c>
      <c r="C58" s="42">
        <v>122.8</v>
      </c>
      <c r="D58">
        <v>124</v>
      </c>
      <c r="E58" s="21">
        <v>131.4</v>
      </c>
      <c r="F58">
        <v>105.37</v>
      </c>
      <c r="G58">
        <v>107.9</v>
      </c>
      <c r="H58">
        <v>111.4</v>
      </c>
      <c r="I58">
        <v>129.04796688580473</v>
      </c>
      <c r="J58" s="29">
        <v>201.94718985101045</v>
      </c>
      <c r="K58" s="38">
        <f>'GAZOLE ROUTIER HTT'!C54</f>
        <v>144.33923121562654</v>
      </c>
      <c r="L58" s="29">
        <v>111.82304924076188</v>
      </c>
      <c r="M58">
        <v>117.2</v>
      </c>
      <c r="N58">
        <v>103.02688475277307</v>
      </c>
      <c r="O58">
        <v>115.91216812856891</v>
      </c>
      <c r="P58">
        <v>101.54673839946201</v>
      </c>
      <c r="Q58">
        <v>112.4130032596247</v>
      </c>
      <c r="R58">
        <v>115.793470007593</v>
      </c>
      <c r="S58">
        <v>123.00611062614078</v>
      </c>
      <c r="T58">
        <v>120.06757572100881</v>
      </c>
      <c r="U58">
        <v>121.50220913107512</v>
      </c>
      <c r="V58">
        <v>107.90578784005844</v>
      </c>
      <c r="W58">
        <v>103.39399901623217</v>
      </c>
      <c r="X58">
        <v>109.20343381912558</v>
      </c>
      <c r="Y58">
        <v>111.12175495737139</v>
      </c>
      <c r="Z58">
        <v>99.59339874208176</v>
      </c>
      <c r="AA58">
        <v>104.13238251965623</v>
      </c>
      <c r="AB58">
        <v>118.7608876770431</v>
      </c>
      <c r="AC58">
        <v>115.24745585804993</v>
      </c>
      <c r="AD58">
        <v>106.86805357651753</v>
      </c>
      <c r="AE58">
        <v>116.44429041760529</v>
      </c>
      <c r="AF58">
        <v>106.1050638902035</v>
      </c>
      <c r="AG58">
        <v>106.35294117647059</v>
      </c>
      <c r="AH58">
        <v>102.03029990724518</v>
      </c>
      <c r="AI58">
        <v>99.140013527877088</v>
      </c>
      <c r="AJ58">
        <v>120.16310949158424</v>
      </c>
      <c r="AK58">
        <v>127.34437714369116</v>
      </c>
      <c r="AL58">
        <v>115.57954321068912</v>
      </c>
      <c r="AM58">
        <v>107.03389830508475</v>
      </c>
      <c r="AN58">
        <v>112.19841403745571</v>
      </c>
    </row>
    <row r="59" spans="1:40">
      <c r="A59" s="1">
        <f t="shared" si="0"/>
        <v>44621</v>
      </c>
      <c r="B59">
        <v>111.1</v>
      </c>
      <c r="C59" s="42">
        <v>123</v>
      </c>
      <c r="D59">
        <v>124.5</v>
      </c>
      <c r="E59" s="21">
        <v>176.2</v>
      </c>
      <c r="F59">
        <v>123.67</v>
      </c>
      <c r="G59">
        <v>107.9</v>
      </c>
      <c r="H59">
        <v>111.4</v>
      </c>
      <c r="I59">
        <v>140.41068095122151</v>
      </c>
      <c r="J59" s="29">
        <v>229.58155086787627</v>
      </c>
      <c r="K59" s="38">
        <f>'GAZOLE ROUTIER HTT'!C55</f>
        <v>191.7609265609718</v>
      </c>
      <c r="L59" s="29">
        <v>111.64750285262882</v>
      </c>
      <c r="M59">
        <v>117.2</v>
      </c>
      <c r="N59">
        <v>102.74487685655197</v>
      </c>
      <c r="O59">
        <v>125.62547830694059</v>
      </c>
      <c r="P59">
        <v>101.93102123162647</v>
      </c>
      <c r="Q59">
        <v>114.08686459342789</v>
      </c>
      <c r="R59">
        <v>115.60364464692482</v>
      </c>
      <c r="S59">
        <v>133.16403460042855</v>
      </c>
      <c r="T59">
        <v>125.9804513092796</v>
      </c>
      <c r="U59">
        <v>137.64113892979873</v>
      </c>
      <c r="V59">
        <v>107.08417016614936</v>
      </c>
      <c r="W59">
        <v>104.67289719626169</v>
      </c>
      <c r="X59">
        <v>110.60091834697543</v>
      </c>
      <c r="Y59">
        <v>113.70820959862056</v>
      </c>
      <c r="Z59">
        <v>98.626472540702323</v>
      </c>
      <c r="AA59">
        <v>105.50374840007314</v>
      </c>
      <c r="AB59">
        <v>121.18457926228888</v>
      </c>
      <c r="AC59">
        <v>117.94381142906845</v>
      </c>
      <c r="AD59">
        <v>106.77305975111618</v>
      </c>
      <c r="AE59">
        <v>116.61757061167908</v>
      </c>
      <c r="AF59">
        <v>106.48367250354946</v>
      </c>
      <c r="AG59">
        <v>106.63529411764705</v>
      </c>
      <c r="AH59">
        <v>102.23642172523961</v>
      </c>
      <c r="AI59">
        <v>99.429896608367969</v>
      </c>
      <c r="AJ59">
        <v>109.66510498004511</v>
      </c>
      <c r="AK59">
        <v>131.35809676713129</v>
      </c>
      <c r="AL59">
        <v>117.22503784637661</v>
      </c>
      <c r="AM59">
        <v>107.54237288135594</v>
      </c>
      <c r="AN59">
        <v>119.79078791968955</v>
      </c>
    </row>
    <row r="60" spans="1:40">
      <c r="A60" s="1">
        <f t="shared" si="0"/>
        <v>44652</v>
      </c>
      <c r="B60">
        <v>113.4</v>
      </c>
      <c r="C60" s="42">
        <v>123.2</v>
      </c>
      <c r="D60">
        <v>124.8</v>
      </c>
      <c r="E60" s="21">
        <v>147.69999999999999</v>
      </c>
      <c r="F60">
        <v>114.52</v>
      </c>
      <c r="G60">
        <v>109.9</v>
      </c>
      <c r="H60">
        <v>115.1</v>
      </c>
      <c r="I60">
        <v>129.21029137245353</v>
      </c>
      <c r="J60" s="29">
        <v>286.32541672813096</v>
      </c>
      <c r="K60" s="38">
        <f>'GAZOLE ROUTIER HTT'!C56</f>
        <v>166.232985889085</v>
      </c>
      <c r="L60" s="29">
        <v>114.28069867462476</v>
      </c>
      <c r="M60">
        <v>123.2</v>
      </c>
      <c r="N60">
        <v>104.62492949802594</v>
      </c>
      <c r="O60">
        <v>146.70041796668039</v>
      </c>
      <c r="P60">
        <v>103.27601114420214</v>
      </c>
      <c r="Q60">
        <v>117.78697912078231</v>
      </c>
      <c r="R60">
        <v>117.2171602126044</v>
      </c>
      <c r="S60">
        <v>133.24339338147766</v>
      </c>
      <c r="T60">
        <v>147.45987691565102</v>
      </c>
      <c r="U60">
        <v>157.09376534118803</v>
      </c>
      <c r="V60">
        <v>107.81449698740187</v>
      </c>
      <c r="W60">
        <v>105.16478111165766</v>
      </c>
      <c r="X60">
        <v>115.39229387103214</v>
      </c>
      <c r="Y60">
        <v>118.40214579940606</v>
      </c>
      <c r="Z60">
        <v>98.099058249040809</v>
      </c>
      <c r="AA60">
        <v>106.78368988846223</v>
      </c>
      <c r="AB60">
        <v>130.19768234492162</v>
      </c>
      <c r="AC60">
        <v>120.64016700008698</v>
      </c>
      <c r="AD60">
        <v>106.86805357651753</v>
      </c>
      <c r="AE60">
        <v>120.51637497833998</v>
      </c>
      <c r="AF60">
        <v>107.61949834358732</v>
      </c>
      <c r="AG60">
        <v>108.04705882352941</v>
      </c>
      <c r="AH60">
        <v>102.13336081624239</v>
      </c>
      <c r="AI60">
        <v>100.0096627693497</v>
      </c>
      <c r="AJ60">
        <v>108.45045982994968</v>
      </c>
      <c r="AK60">
        <v>141.64781434722323</v>
      </c>
      <c r="AL60">
        <v>119.26545119462909</v>
      </c>
      <c r="AM60">
        <v>107.37288135593221</v>
      </c>
      <c r="AN60">
        <v>121.89978066475452</v>
      </c>
    </row>
    <row r="61" spans="1:40">
      <c r="A61" s="1">
        <f t="shared" si="0"/>
        <v>44682</v>
      </c>
      <c r="B61">
        <v>113.2</v>
      </c>
      <c r="C61" s="42">
        <v>123.5</v>
      </c>
      <c r="D61">
        <v>125.2</v>
      </c>
      <c r="E61" s="21">
        <v>148.19999999999999</v>
      </c>
      <c r="F61">
        <v>116.46</v>
      </c>
      <c r="G61">
        <v>110.4</v>
      </c>
      <c r="H61">
        <v>115.1</v>
      </c>
      <c r="I61">
        <v>111.76040905770635</v>
      </c>
      <c r="J61" s="29">
        <v>227.76220681516446</v>
      </c>
      <c r="K61" s="38">
        <f>'GAZOLE ROUTIER HTT'!C57</f>
        <v>169.10487921467225</v>
      </c>
      <c r="L61" s="29">
        <v>119.10822434828403</v>
      </c>
      <c r="M61">
        <v>123.3</v>
      </c>
      <c r="N61">
        <v>105.846963714984</v>
      </c>
      <c r="O61">
        <v>159.35715547183139</v>
      </c>
      <c r="P61">
        <v>104.04457680853108</v>
      </c>
      <c r="Q61">
        <v>121.75138754294775</v>
      </c>
      <c r="R61">
        <v>120.06454062262718</v>
      </c>
      <c r="S61">
        <v>136.1796682802952</v>
      </c>
      <c r="T61">
        <v>160.06998913961627</v>
      </c>
      <c r="U61">
        <v>152.2459499263623</v>
      </c>
      <c r="V61">
        <v>108.54482380865439</v>
      </c>
      <c r="W61">
        <v>107.32907033939991</v>
      </c>
      <c r="X61">
        <v>120.78259133559592</v>
      </c>
      <c r="Y61">
        <v>122.23393045310853</v>
      </c>
      <c r="Z61">
        <v>102.54621555633065</v>
      </c>
      <c r="AA61">
        <v>106.87511428049002</v>
      </c>
      <c r="AB61">
        <v>135.12080587745209</v>
      </c>
      <c r="AC61">
        <v>121.42297990780203</v>
      </c>
      <c r="AD61">
        <v>108.48294860834046</v>
      </c>
      <c r="AE61">
        <v>122.6823774042627</v>
      </c>
      <c r="AF61">
        <v>108.5660198769522</v>
      </c>
      <c r="AG61">
        <v>108.23529411764706</v>
      </c>
      <c r="AH61">
        <v>103.98845717819231</v>
      </c>
      <c r="AI61">
        <v>100.29954584984057</v>
      </c>
      <c r="AJ61">
        <v>114.95748741974666</v>
      </c>
      <c r="AK61">
        <v>144.42092972341823</v>
      </c>
      <c r="AL61">
        <v>124.00447574540907</v>
      </c>
      <c r="AM61">
        <v>107.54237288135594</v>
      </c>
      <c r="AN61">
        <v>119.53770879028176</v>
      </c>
    </row>
    <row r="62" spans="1:40">
      <c r="A62" s="1">
        <f t="shared" si="0"/>
        <v>44713</v>
      </c>
      <c r="B62">
        <v>113.3</v>
      </c>
      <c r="C62" s="42">
        <v>123.7</v>
      </c>
      <c r="D62">
        <v>125.5</v>
      </c>
      <c r="E62" s="21">
        <v>172.7</v>
      </c>
      <c r="F62">
        <v>128.15</v>
      </c>
      <c r="G62">
        <v>111.8</v>
      </c>
      <c r="H62">
        <v>115.1</v>
      </c>
      <c r="I62">
        <v>97.151205259313372</v>
      </c>
      <c r="J62" s="29">
        <v>231.15503761616759</v>
      </c>
      <c r="K62" s="38">
        <f>'GAZOLE ROUTIER HTT'!C58</f>
        <v>198.40882777760893</v>
      </c>
      <c r="L62" s="29">
        <v>120.77591503554814</v>
      </c>
      <c r="M62">
        <v>123.4</v>
      </c>
      <c r="N62">
        <v>105.28294792254182</v>
      </c>
      <c r="O62">
        <v>150.88008477070701</v>
      </c>
      <c r="P62">
        <v>105.29349601306562</v>
      </c>
      <c r="Q62">
        <v>123.95383666637299</v>
      </c>
      <c r="R62">
        <v>125.66438876233865</v>
      </c>
      <c r="S62">
        <v>139.43337830330924</v>
      </c>
      <c r="T62">
        <v>152.95040424761675</v>
      </c>
      <c r="U62">
        <v>159.97790868924889</v>
      </c>
      <c r="V62">
        <v>112.65291217819976</v>
      </c>
      <c r="W62">
        <v>108.8047220855878</v>
      </c>
      <c r="X62">
        <v>123.67738071471352</v>
      </c>
      <c r="Y62">
        <v>123.28767123287669</v>
      </c>
      <c r="Z62">
        <v>105.94698290896407</v>
      </c>
      <c r="AA62">
        <v>108.24648016090693</v>
      </c>
      <c r="AB62">
        <v>133.22729682647883</v>
      </c>
      <c r="AC62">
        <v>128.29433765330086</v>
      </c>
      <c r="AD62">
        <v>111.23776954497957</v>
      </c>
      <c r="AE62">
        <v>123.98197885981632</v>
      </c>
      <c r="AF62">
        <v>109.3232371036441</v>
      </c>
      <c r="AG62">
        <v>108.8</v>
      </c>
      <c r="AH62">
        <v>105.01906626816448</v>
      </c>
      <c r="AI62">
        <v>100.10629046284666</v>
      </c>
      <c r="AJ62">
        <v>120.07634912372028</v>
      </c>
      <c r="AK62">
        <v>144.20199956213966</v>
      </c>
      <c r="AL62">
        <v>121.63496347001909</v>
      </c>
      <c r="AM62">
        <v>107.45762711864407</v>
      </c>
      <c r="AN62">
        <v>115.31972330015184</v>
      </c>
    </row>
    <row r="63" spans="1:40">
      <c r="A63" s="1">
        <f t="shared" si="0"/>
        <v>44743</v>
      </c>
      <c r="B63" s="167">
        <v>116.6</v>
      </c>
      <c r="C63" s="42">
        <v>124.4</v>
      </c>
      <c r="D63" s="167">
        <v>125.9</v>
      </c>
      <c r="E63" s="21">
        <v>156</v>
      </c>
      <c r="F63">
        <v>122.75</v>
      </c>
      <c r="G63">
        <v>115.2</v>
      </c>
      <c r="H63" s="167">
        <v>117.1</v>
      </c>
      <c r="I63">
        <v>100.15420826231637</v>
      </c>
      <c r="J63" s="29">
        <v>273.04912228942317</v>
      </c>
      <c r="K63" s="38">
        <f>'GAZOLE ROUTIER HTT'!C59</f>
        <v>182.79069185265595</v>
      </c>
      <c r="L63" s="29">
        <v>118.75713157201791</v>
      </c>
      <c r="M63">
        <v>122.8</v>
      </c>
      <c r="N63">
        <v>106.5049821394999</v>
      </c>
      <c r="O63">
        <v>145.34644139636191</v>
      </c>
      <c r="P63">
        <v>106.35027380151793</v>
      </c>
      <c r="Q63">
        <v>123.68954277156199</v>
      </c>
      <c r="R63">
        <v>126.13895216400911</v>
      </c>
      <c r="S63">
        <v>136.57646218554083</v>
      </c>
      <c r="T63">
        <v>152.28671413056594</v>
      </c>
      <c r="U63">
        <v>149.42317133038785</v>
      </c>
      <c r="V63">
        <v>114.38743837867446</v>
      </c>
      <c r="W63">
        <v>108.60796851942942</v>
      </c>
      <c r="X63">
        <v>125.67378718307047</v>
      </c>
      <c r="Y63">
        <v>126.83207203755148</v>
      </c>
      <c r="Z63">
        <v>108.30136030694105</v>
      </c>
      <c r="AA63">
        <v>108.24648016090693</v>
      </c>
      <c r="AB63">
        <v>128.30417329394834</v>
      </c>
      <c r="AC63">
        <v>134.81777855092633</v>
      </c>
      <c r="AD63">
        <v>115.03752256103353</v>
      </c>
      <c r="AE63">
        <v>123.63541847166869</v>
      </c>
      <c r="AF63">
        <v>110.08045433033601</v>
      </c>
      <c r="AG63">
        <v>109.92941176470588</v>
      </c>
      <c r="AH63">
        <v>104.70988354117283</v>
      </c>
      <c r="AI63">
        <v>100.97593970431926</v>
      </c>
      <c r="AJ63">
        <v>124.58788825264618</v>
      </c>
      <c r="AK63">
        <v>138.94767569145444</v>
      </c>
      <c r="AL63">
        <v>128.87513986704403</v>
      </c>
      <c r="AM63">
        <v>108.13559322033899</v>
      </c>
      <c r="AN63">
        <v>111.43917664923232</v>
      </c>
    </row>
    <row r="64" spans="1:40">
      <c r="A64" s="1">
        <f t="shared" si="0"/>
        <v>44774</v>
      </c>
      <c r="B64" s="167">
        <v>116.6</v>
      </c>
      <c r="C64" s="42">
        <v>125.2</v>
      </c>
      <c r="D64" s="167">
        <v>126.2</v>
      </c>
      <c r="E64" s="21">
        <v>148.5</v>
      </c>
      <c r="F64" s="167">
        <v>114.8</v>
      </c>
      <c r="G64" s="167">
        <v>115.3</v>
      </c>
      <c r="H64" s="167">
        <v>117.1</v>
      </c>
      <c r="I64">
        <v>105.26742959175391</v>
      </c>
      <c r="J64" s="29">
        <v>403.35349363229579</v>
      </c>
      <c r="K64" s="38">
        <v>165.98479757699718</v>
      </c>
      <c r="L64" s="29">
        <v>119.63486351268324</v>
      </c>
      <c r="M64">
        <v>122.9</v>
      </c>
      <c r="N64">
        <v>109.60706899793193</v>
      </c>
      <c r="O64">
        <v>141.87319715076234</v>
      </c>
      <c r="P64">
        <v>106.83062734172351</v>
      </c>
      <c r="Q64">
        <v>122.72046515725488</v>
      </c>
      <c r="R64">
        <v>126.80334092634774</v>
      </c>
      <c r="S64">
        <v>136.89389730973733</v>
      </c>
      <c r="T64">
        <v>145.40847109931218</v>
      </c>
      <c r="U64">
        <v>132.179675994109</v>
      </c>
      <c r="V64">
        <v>112.56162132554319</v>
      </c>
      <c r="W64">
        <v>110.08362026561733</v>
      </c>
      <c r="X64">
        <v>125.47414653623478</v>
      </c>
      <c r="Y64">
        <v>128.17319666634737</v>
      </c>
      <c r="Z64">
        <v>108.65015695849318</v>
      </c>
      <c r="AA64">
        <v>107.60650941671237</v>
      </c>
      <c r="AB64">
        <v>128.75861546618194</v>
      </c>
      <c r="AC64">
        <v>139.86257284509003</v>
      </c>
      <c r="AD64">
        <v>115.98746081504702</v>
      </c>
      <c r="AE64">
        <v>121.12285565759836</v>
      </c>
      <c r="AF64">
        <v>111.68954093705632</v>
      </c>
      <c r="AG64">
        <v>111.71764705882353</v>
      </c>
      <c r="AH64">
        <v>104.91600535916726</v>
      </c>
      <c r="AI64">
        <v>101.07256739781621</v>
      </c>
      <c r="AJ64">
        <v>127.36422002429291</v>
      </c>
      <c r="AK64">
        <v>135.51776983142375</v>
      </c>
      <c r="AL64">
        <v>124.53103402882905</v>
      </c>
      <c r="AM64">
        <v>108.13559322033899</v>
      </c>
      <c r="AN64">
        <v>108.73966593554918</v>
      </c>
    </row>
    <row r="65" spans="1:41">
      <c r="A65" s="1">
        <f t="shared" si="0"/>
        <v>44805</v>
      </c>
      <c r="B65" s="167">
        <v>117.1</v>
      </c>
      <c r="C65" s="202">
        <v>125.9</v>
      </c>
      <c r="D65" s="167">
        <v>126.5</v>
      </c>
      <c r="E65" s="21">
        <v>137.4</v>
      </c>
      <c r="F65" s="167">
        <v>107.02</v>
      </c>
      <c r="G65" s="167">
        <v>112.8</v>
      </c>
      <c r="H65" s="167">
        <v>117.1</v>
      </c>
      <c r="I65">
        <v>102.02093985877769</v>
      </c>
      <c r="J65" s="29">
        <v>474.94714067954959</v>
      </c>
      <c r="K65" s="38">
        <v>145.70426693210933</v>
      </c>
      <c r="L65" s="29">
        <v>119.37154393048364</v>
      </c>
      <c r="M65">
        <v>122.9</v>
      </c>
      <c r="N65">
        <v>107.72701635645797</v>
      </c>
      <c r="O65">
        <v>134.98557720609878</v>
      </c>
      <c r="P65">
        <v>106.2542030934768</v>
      </c>
      <c r="Q65">
        <v>120.3418201039556</v>
      </c>
      <c r="R65">
        <v>128.22703113135913</v>
      </c>
      <c r="S65">
        <v>137.60812633917942</v>
      </c>
      <c r="T65">
        <v>139.79727283697358</v>
      </c>
      <c r="U65">
        <v>130.15463917525773</v>
      </c>
      <c r="V65">
        <v>108.90998721928064</v>
      </c>
      <c r="W65">
        <v>110.87063453025087</v>
      </c>
      <c r="X65">
        <v>125.17468556598124</v>
      </c>
      <c r="Y65">
        <v>127.88581281731966</v>
      </c>
      <c r="Z65">
        <v>109.60934775026159</v>
      </c>
      <c r="AA65">
        <v>108.24648016090693</v>
      </c>
      <c r="AB65">
        <v>124.74437627811859</v>
      </c>
      <c r="AC65">
        <v>133.25215273549622</v>
      </c>
      <c r="AD65">
        <v>114.1825781324214</v>
      </c>
      <c r="AE65">
        <v>118.43701264945418</v>
      </c>
      <c r="AF65">
        <v>110.93232371036441</v>
      </c>
      <c r="AG65">
        <v>110.21176470588235</v>
      </c>
      <c r="AH65">
        <v>106.25579717613108</v>
      </c>
      <c r="AI65">
        <v>100.68605662382839</v>
      </c>
      <c r="AJ65">
        <v>132.56984209613049</v>
      </c>
      <c r="AK65">
        <v>134.13121214332628</v>
      </c>
      <c r="AL65">
        <v>111.16961758704666</v>
      </c>
      <c r="AM65">
        <v>108.30508474576271</v>
      </c>
      <c r="AN65">
        <v>109.66762274337776</v>
      </c>
    </row>
    <row r="66" spans="1:41">
      <c r="A66" s="1">
        <f t="shared" si="0"/>
        <v>44835</v>
      </c>
      <c r="B66" s="167">
        <v>117.2</v>
      </c>
      <c r="C66" s="202">
        <v>126.6</v>
      </c>
      <c r="D66">
        <v>126.9</v>
      </c>
      <c r="E66" s="21">
        <v>163.5</v>
      </c>
      <c r="F66" s="167">
        <v>114.98</v>
      </c>
      <c r="G66" s="167">
        <v>113.6</v>
      </c>
      <c r="H66" s="167">
        <v>117.5</v>
      </c>
      <c r="I66">
        <v>97.962827692557426</v>
      </c>
      <c r="J66" s="29">
        <v>374.83404631951612</v>
      </c>
      <c r="K66" s="29">
        <v>168.92760184889522</v>
      </c>
      <c r="L66" s="29">
        <v>118.31826560168525</v>
      </c>
      <c r="M66">
        <v>121.4</v>
      </c>
      <c r="N66">
        <v>106.69298740364729</v>
      </c>
      <c r="O66">
        <v>132.86630953081766</v>
      </c>
      <c r="P66">
        <v>106.92669804976462</v>
      </c>
      <c r="Q66">
        <v>118.6679587701524</v>
      </c>
      <c r="R66">
        <v>131.64388762338646</v>
      </c>
      <c r="S66">
        <v>143.24259979366718</v>
      </c>
      <c r="T66">
        <v>137.62519609026185</v>
      </c>
      <c r="U66">
        <v>117.206676485027</v>
      </c>
      <c r="V66">
        <v>117.21745481102795</v>
      </c>
      <c r="W66">
        <v>110.18199704869652</v>
      </c>
      <c r="X66">
        <v>126.67199041724895</v>
      </c>
      <c r="Y66">
        <v>124.91617971070026</v>
      </c>
      <c r="Z66">
        <v>112.4869201255668</v>
      </c>
      <c r="AA66">
        <v>109.61784604132382</v>
      </c>
      <c r="AB66">
        <v>124.44141482996289</v>
      </c>
      <c r="AC66">
        <v>130.5557971644777</v>
      </c>
      <c r="AD66">
        <v>114.84753491023085</v>
      </c>
      <c r="AE66">
        <v>116.61757061167908</v>
      </c>
      <c r="AF66">
        <v>111.0269758637009</v>
      </c>
      <c r="AG66">
        <v>110.68235294117646</v>
      </c>
      <c r="AH66">
        <v>106.25579717613108</v>
      </c>
      <c r="AI66">
        <v>101.16919509131318</v>
      </c>
      <c r="AJ66">
        <v>136.12701717855285</v>
      </c>
      <c r="AK66">
        <v>132.23381741224549</v>
      </c>
      <c r="AL66">
        <v>108.20772724280918</v>
      </c>
      <c r="AM66">
        <v>108.55932203389831</v>
      </c>
      <c r="AN66">
        <v>107.55862999831281</v>
      </c>
    </row>
    <row r="67" spans="1:41">
      <c r="A67" s="1">
        <f t="shared" si="0"/>
        <v>44866</v>
      </c>
      <c r="B67">
        <v>117.2</v>
      </c>
      <c r="C67" s="202">
        <v>127.2</v>
      </c>
      <c r="D67">
        <v>127.2</v>
      </c>
      <c r="E67" s="21">
        <v>152.1</v>
      </c>
      <c r="F67" s="167">
        <v>115.24</v>
      </c>
      <c r="G67" s="167">
        <v>114.1</v>
      </c>
      <c r="H67" s="167">
        <v>117.5</v>
      </c>
      <c r="I67">
        <v>105.83556529502476</v>
      </c>
      <c r="J67" s="29">
        <v>284.55524413630332</v>
      </c>
      <c r="K67" s="29">
        <v>165.36432679677768</v>
      </c>
      <c r="L67" s="29">
        <v>118.49381198981831</v>
      </c>
      <c r="M67">
        <v>121.4</v>
      </c>
      <c r="N67">
        <v>108.10302688475277</v>
      </c>
      <c r="O67">
        <v>123.85942191087301</v>
      </c>
      <c r="P67">
        <v>107.31098088192911</v>
      </c>
      <c r="Q67">
        <v>118.13937098053034</v>
      </c>
      <c r="R67">
        <v>135.82004555808655</v>
      </c>
      <c r="S67">
        <v>137.13197365288471</v>
      </c>
      <c r="T67">
        <v>130.56594666344878</v>
      </c>
      <c r="U67">
        <v>119.72263132056946</v>
      </c>
      <c r="V67">
        <v>114.57002008398759</v>
      </c>
      <c r="W67">
        <v>111.95277914412199</v>
      </c>
      <c r="X67">
        <v>125.77360750648832</v>
      </c>
      <c r="Y67">
        <v>125.20356355972793</v>
      </c>
      <c r="Z67">
        <v>110.83013603069409</v>
      </c>
      <c r="AA67">
        <v>110.16639239349057</v>
      </c>
      <c r="AB67">
        <v>114.59516776490192</v>
      </c>
      <c r="AC67">
        <v>132.20840219187616</v>
      </c>
      <c r="AD67">
        <v>115.03752256103353</v>
      </c>
      <c r="AE67">
        <v>115.92444983538384</v>
      </c>
      <c r="AF67">
        <v>112.16280170373877</v>
      </c>
      <c r="AG67">
        <v>112.28235294117647</v>
      </c>
      <c r="AH67">
        <v>105.53437081315057</v>
      </c>
      <c r="AI67">
        <v>99.816407382355791</v>
      </c>
      <c r="AJ67">
        <v>137.77546416796807</v>
      </c>
      <c r="AK67">
        <v>129.60665547690286</v>
      </c>
      <c r="AL67">
        <v>103.40288290660172</v>
      </c>
      <c r="AM67">
        <v>108.30508474576271</v>
      </c>
      <c r="AN67">
        <v>107.3899105787076</v>
      </c>
    </row>
    <row r="68" spans="1:41">
      <c r="A68" s="1">
        <f t="shared" si="0"/>
        <v>44896</v>
      </c>
      <c r="B68">
        <v>117.4</v>
      </c>
      <c r="C68" s="202">
        <v>127.9</v>
      </c>
      <c r="D68">
        <v>127.6</v>
      </c>
      <c r="E68" s="21">
        <v>140.4</v>
      </c>
      <c r="F68" s="167">
        <v>109.25</v>
      </c>
      <c r="G68" s="167">
        <v>115.2</v>
      </c>
      <c r="H68" s="167">
        <v>117.5</v>
      </c>
      <c r="I68">
        <v>131.32050969888809</v>
      </c>
      <c r="J68" s="29">
        <v>279.58892658700893</v>
      </c>
      <c r="K68" s="29">
        <v>152.35216814874653</v>
      </c>
      <c r="L68" s="29">
        <v>119.63486351268324</v>
      </c>
      <c r="M68">
        <v>120.9</v>
      </c>
      <c r="N68">
        <v>108.38503478097385</v>
      </c>
      <c r="O68">
        <v>111.37929004532877</v>
      </c>
      <c r="P68">
        <v>107.31098088192911</v>
      </c>
      <c r="Q68">
        <v>118.40366487534139</v>
      </c>
      <c r="R68">
        <v>138.28777524677295</v>
      </c>
      <c r="S68">
        <v>132.68788191413378</v>
      </c>
      <c r="T68">
        <v>118.61952455653433</v>
      </c>
      <c r="U68">
        <v>115.85665193912618</v>
      </c>
      <c r="V68">
        <v>116.12196457914918</v>
      </c>
      <c r="W68">
        <v>110.37875061485491</v>
      </c>
      <c r="X68">
        <v>124.17648233180276</v>
      </c>
      <c r="Y68">
        <v>125.77833125778332</v>
      </c>
      <c r="Z68">
        <v>111.35333100802232</v>
      </c>
      <c r="AA68">
        <v>110.62351435362953</v>
      </c>
      <c r="AB68">
        <v>110.95963038703324</v>
      </c>
      <c r="AC68">
        <v>128.55527528920589</v>
      </c>
      <c r="AD68">
        <v>115.41749786263894</v>
      </c>
      <c r="AE68">
        <v>115.75116964131</v>
      </c>
      <c r="AF68">
        <v>111.8788452437293</v>
      </c>
      <c r="AG68">
        <v>111.71764705882353</v>
      </c>
      <c r="AH68">
        <v>103.57621354220343</v>
      </c>
      <c r="AI68">
        <v>100.20291815634361</v>
      </c>
      <c r="AJ68">
        <v>140.29151483602288</v>
      </c>
      <c r="AK68">
        <v>125.44698241261038</v>
      </c>
      <c r="AL68">
        <v>96.88672414927926</v>
      </c>
      <c r="AM68">
        <v>108.47457627118645</v>
      </c>
      <c r="AN68">
        <v>108.40222709633879</v>
      </c>
    </row>
    <row r="69" spans="1:41" s="204" customFormat="1">
      <c r="A69" s="203">
        <f t="shared" si="0"/>
        <v>44927</v>
      </c>
      <c r="B69">
        <v>119.3</v>
      </c>
      <c r="C69" s="42">
        <v>128.6</v>
      </c>
      <c r="D69">
        <v>127.8</v>
      </c>
      <c r="E69" s="21">
        <v>150.5</v>
      </c>
      <c r="F69" s="167">
        <v>117.23</v>
      </c>
      <c r="G69" s="167">
        <v>114.5</v>
      </c>
      <c r="H69" s="167">
        <v>118</v>
      </c>
      <c r="I69">
        <v>173.93068744420097</v>
      </c>
      <c r="J69" s="29">
        <v>240.89098687121992</v>
      </c>
      <c r="K69" s="29">
        <v>174.33456150509349</v>
      </c>
      <c r="L69" s="29">
        <v>119.28377073641711</v>
      </c>
      <c r="M69">
        <v>116.9</v>
      </c>
      <c r="N69">
        <v>114.96521902613271</v>
      </c>
      <c r="O69">
        <v>107.78830870665803</v>
      </c>
      <c r="P69">
        <v>114.03593044480739</v>
      </c>
      <c r="Q69">
        <v>117.78697912078231</v>
      </c>
      <c r="R69">
        <v>145.50113895216401</v>
      </c>
      <c r="S69">
        <v>131.25942385524959</v>
      </c>
      <c r="T69">
        <v>112.52564257270424</v>
      </c>
      <c r="U69">
        <v>107.26558664702996</v>
      </c>
      <c r="V69">
        <v>121.96457914916925</v>
      </c>
      <c r="W69">
        <v>113.82193802262667</v>
      </c>
      <c r="X69">
        <v>126.47234977041326</v>
      </c>
      <c r="Y69">
        <v>134.39984672861385</v>
      </c>
      <c r="Z69">
        <v>115.88768747820021</v>
      </c>
      <c r="AA69">
        <v>112.17772901810203</v>
      </c>
      <c r="AB69">
        <v>106.56668938877527</v>
      </c>
      <c r="AC69">
        <v>129.25110898495259</v>
      </c>
      <c r="AD69">
        <v>119.50223235489693</v>
      </c>
      <c r="AE69">
        <v>118.17709235834346</v>
      </c>
      <c r="AF69">
        <v>116.32749645054426</v>
      </c>
      <c r="AG69">
        <v>117.74117647058823</v>
      </c>
      <c r="AH69">
        <v>107.28640626610326</v>
      </c>
      <c r="AI69">
        <v>100.87931201082232</v>
      </c>
      <c r="AJ69">
        <v>141.76644108971021</v>
      </c>
      <c r="AK69">
        <v>118.44121725169671</v>
      </c>
      <c r="AL69">
        <v>88.593431185414332</v>
      </c>
      <c r="AM69">
        <v>111.01694915254238</v>
      </c>
      <c r="AN69">
        <v>108.06478825712838</v>
      </c>
    </row>
    <row r="70" spans="1:41">
      <c r="A70" s="1">
        <f t="shared" si="0"/>
        <v>44958</v>
      </c>
      <c r="B70">
        <v>119</v>
      </c>
      <c r="C70" s="42">
        <v>129.30000000000001</v>
      </c>
      <c r="D70">
        <v>128.1</v>
      </c>
      <c r="E70" s="21">
        <v>140.5</v>
      </c>
      <c r="F70" s="167">
        <v>113.65</v>
      </c>
      <c r="G70" s="167">
        <v>116.1</v>
      </c>
      <c r="H70" s="167">
        <v>118</v>
      </c>
      <c r="I70">
        <v>206.23326028731435</v>
      </c>
      <c r="J70" s="29">
        <v>145.44918129517629</v>
      </c>
      <c r="K70" s="29">
        <v>163.99929108029488</v>
      </c>
      <c r="L70" s="29">
        <v>118.93267796015097</v>
      </c>
      <c r="M70">
        <v>116.8</v>
      </c>
      <c r="N70">
        <v>125.39951118631322</v>
      </c>
      <c r="O70">
        <v>104.4916701006652</v>
      </c>
      <c r="P70">
        <v>114.90056681717745</v>
      </c>
      <c r="Q70">
        <v>117.34648929609725</v>
      </c>
      <c r="R70">
        <v>145.88078967350035</v>
      </c>
      <c r="S70">
        <v>127.21212602174431</v>
      </c>
      <c r="T70">
        <v>110.23289489561964</v>
      </c>
      <c r="U70">
        <v>108.73834069710358</v>
      </c>
      <c r="V70">
        <v>127.44203030856309</v>
      </c>
      <c r="W70">
        <v>115.29758976881456</v>
      </c>
      <c r="X70">
        <v>128.56857656218807</v>
      </c>
      <c r="Y70">
        <v>138.71060446402913</v>
      </c>
      <c r="Z70">
        <v>118.32926403906521</v>
      </c>
      <c r="AA70">
        <v>112.54342658621319</v>
      </c>
      <c r="AB70">
        <v>105.8850261304249</v>
      </c>
      <c r="AC70">
        <v>130.99069322431939</v>
      </c>
      <c r="AD70">
        <v>123.58696684715493</v>
      </c>
      <c r="AE70">
        <v>117.57061167908508</v>
      </c>
      <c r="AF70">
        <v>117.5579744439186</v>
      </c>
      <c r="AG70">
        <v>120.09411764705882</v>
      </c>
      <c r="AH70">
        <v>108.7292589920643</v>
      </c>
      <c r="AI70">
        <v>101.65233355879796</v>
      </c>
      <c r="AJ70">
        <v>139.25039042165537</v>
      </c>
      <c r="AK70">
        <v>117.85740348828723</v>
      </c>
      <c r="AL70">
        <v>88.659250970841825</v>
      </c>
      <c r="AM70">
        <v>111.10169491525424</v>
      </c>
      <c r="AN70">
        <v>108.73966593554918</v>
      </c>
    </row>
    <row r="71" spans="1:41">
      <c r="A71" s="1">
        <f t="shared" si="0"/>
        <v>44986</v>
      </c>
      <c r="B71">
        <v>119.4</v>
      </c>
      <c r="C71" s="42">
        <v>130</v>
      </c>
      <c r="D71">
        <v>128.30000000000001</v>
      </c>
      <c r="E71" s="21">
        <v>138.6</v>
      </c>
      <c r="F71" s="167">
        <v>112.8</v>
      </c>
      <c r="G71" s="167">
        <v>116.3</v>
      </c>
      <c r="H71" s="167">
        <v>118</v>
      </c>
      <c r="I71">
        <v>251.0348186023862</v>
      </c>
      <c r="J71" s="29">
        <v>121.69936568815459</v>
      </c>
      <c r="K71" s="205">
        <v>160.73738754999823</v>
      </c>
      <c r="L71" s="29">
        <v>119.72263670674977</v>
      </c>
      <c r="M71">
        <v>116.9</v>
      </c>
      <c r="N71">
        <v>125.2115059221658</v>
      </c>
      <c r="O71">
        <v>101.78371696002826</v>
      </c>
      <c r="P71">
        <v>115.18877894130081</v>
      </c>
      <c r="Q71">
        <v>117.96317505065633</v>
      </c>
      <c r="R71">
        <v>145.78587699316626</v>
      </c>
      <c r="S71">
        <v>125.94238552495833</v>
      </c>
      <c r="T71">
        <v>108.66417280077229</v>
      </c>
      <c r="U71">
        <v>112.42022582228768</v>
      </c>
      <c r="V71">
        <v>130.81979185685597</v>
      </c>
      <c r="W71">
        <v>117.26512543039843</v>
      </c>
      <c r="X71">
        <v>128.96785785585945</v>
      </c>
      <c r="Y71">
        <v>138.32742599865887</v>
      </c>
      <c r="Z71">
        <v>123.1252179979072</v>
      </c>
      <c r="AA71">
        <v>112.36057780215761</v>
      </c>
      <c r="AB71">
        <v>103.99151707945164</v>
      </c>
      <c r="AC71">
        <v>134.29590327911632</v>
      </c>
      <c r="AD71">
        <v>125.96181248218866</v>
      </c>
      <c r="AE71">
        <v>120.42973488130308</v>
      </c>
      <c r="AF71">
        <v>118.22053951727402</v>
      </c>
      <c r="AG71">
        <v>120.56470588235294</v>
      </c>
      <c r="AH71">
        <v>110.58435535401421</v>
      </c>
      <c r="AI71">
        <v>101.55570586530099</v>
      </c>
      <c r="AJ71">
        <v>139.25039042165537</v>
      </c>
      <c r="AK71">
        <v>122.01707655257971</v>
      </c>
      <c r="AL71">
        <v>90.633844533666803</v>
      </c>
      <c r="AM71">
        <v>111.27118644067798</v>
      </c>
      <c r="AN71">
        <v>111.01737810021933</v>
      </c>
      <c r="AO71" s="206"/>
    </row>
    <row r="72" spans="1:41">
      <c r="A72" s="1">
        <f t="shared" ref="A72:A109" si="1">EDATE(A71,1)</f>
        <v>45017</v>
      </c>
      <c r="B72">
        <v>122.6</v>
      </c>
      <c r="C72" s="29">
        <v>130.4</v>
      </c>
      <c r="D72" s="207">
        <v>128.6</v>
      </c>
      <c r="E72" s="21">
        <v>130.80000000000001</v>
      </c>
      <c r="F72" s="167">
        <v>110.37</v>
      </c>
      <c r="G72" s="167">
        <v>117.5</v>
      </c>
      <c r="H72" s="167">
        <v>118.7</v>
      </c>
      <c r="I72">
        <v>228.30939047155266</v>
      </c>
      <c r="J72" s="29">
        <v>104.44018291783449</v>
      </c>
      <c r="K72" s="38">
        <v>153.64629291891859</v>
      </c>
      <c r="L72" s="29">
        <v>117.70385324321951</v>
      </c>
      <c r="M72">
        <v>113.9</v>
      </c>
      <c r="N72">
        <v>128.31359278059784</v>
      </c>
      <c r="O72">
        <v>101.07729440160121</v>
      </c>
      <c r="P72">
        <v>116.43769814583534</v>
      </c>
      <c r="Q72">
        <v>116.8179015064752</v>
      </c>
      <c r="R72">
        <v>142.46393318147304</v>
      </c>
      <c r="S72">
        <v>117.84778985794779</v>
      </c>
      <c r="T72">
        <v>107.94014721853506</v>
      </c>
      <c r="U72">
        <v>116.65439371624939</v>
      </c>
      <c r="V72">
        <v>128.08106627715904</v>
      </c>
      <c r="W72">
        <v>115.39596655189375</v>
      </c>
      <c r="X72">
        <v>131.66300658814134</v>
      </c>
      <c r="Y72">
        <v>139.86013986013987</v>
      </c>
      <c r="Z72">
        <v>122.602023020579</v>
      </c>
      <c r="AA72">
        <v>113.09197293837995</v>
      </c>
      <c r="AB72">
        <v>102.32522911459516</v>
      </c>
      <c r="AC72">
        <v>133.33913194746458</v>
      </c>
      <c r="AD72">
        <v>125.10686805357651</v>
      </c>
      <c r="AE72">
        <v>120.16981459019235</v>
      </c>
      <c r="AF72">
        <v>117.46332229058211</v>
      </c>
      <c r="AG72">
        <v>119.15294117647058</v>
      </c>
      <c r="AH72">
        <v>108.52313717406987</v>
      </c>
      <c r="AI72">
        <v>102.42535510677361</v>
      </c>
      <c r="AJ72">
        <v>140.20475446815894</v>
      </c>
      <c r="AK72">
        <v>106.69196526308106</v>
      </c>
      <c r="AL72">
        <v>96.755084578424274</v>
      </c>
      <c r="AM72">
        <v>111.10169491525424</v>
      </c>
      <c r="AN72">
        <v>110.08942129239075</v>
      </c>
    </row>
    <row r="73" spans="1:41">
      <c r="A73" s="1">
        <f t="shared" si="1"/>
        <v>45047</v>
      </c>
      <c r="B73" s="205">
        <v>122.2</v>
      </c>
      <c r="C73" s="29">
        <v>130.9</v>
      </c>
      <c r="D73" s="207">
        <v>128.9</v>
      </c>
      <c r="E73" s="21">
        <v>122.4</v>
      </c>
      <c r="F73" s="167">
        <v>103.16</v>
      </c>
      <c r="G73" s="167">
        <v>117.6</v>
      </c>
      <c r="H73" s="167">
        <v>118.7</v>
      </c>
      <c r="I73">
        <v>203.63606850093336</v>
      </c>
      <c r="J73" s="29">
        <v>92.934061070954414</v>
      </c>
      <c r="K73" s="38">
        <v>137.76224094530016</v>
      </c>
      <c r="L73" s="29">
        <v>116.73834810848767</v>
      </c>
      <c r="M73">
        <v>113.9</v>
      </c>
      <c r="N73">
        <v>128.12558751645045</v>
      </c>
      <c r="O73">
        <v>98.722552540177773</v>
      </c>
      <c r="P73">
        <v>115.95734460562976</v>
      </c>
      <c r="Q73">
        <v>115.055942207735</v>
      </c>
      <c r="R73">
        <v>144.07744874715263</v>
      </c>
      <c r="S73">
        <v>108.2453773510039</v>
      </c>
      <c r="T73">
        <v>104.98370942439966</v>
      </c>
      <c r="U73">
        <v>122.79086892488955</v>
      </c>
      <c r="V73">
        <v>127.62461201387623</v>
      </c>
      <c r="W73">
        <v>115.49434333497295</v>
      </c>
      <c r="X73">
        <v>133.65941305649829</v>
      </c>
      <c r="Y73">
        <v>140.43490755819522</v>
      </c>
      <c r="Z73">
        <v>124.7820020927799</v>
      </c>
      <c r="AA73">
        <v>112.54342658621319</v>
      </c>
      <c r="AB73">
        <v>98.613951374687559</v>
      </c>
      <c r="AC73">
        <v>131.94746455597112</v>
      </c>
      <c r="AD73">
        <v>124.63189892656976</v>
      </c>
      <c r="AE73">
        <v>120.34309478426617</v>
      </c>
      <c r="AF73">
        <v>117.74727875059158</v>
      </c>
      <c r="AG73">
        <v>119.52941176470588</v>
      </c>
      <c r="AH73">
        <v>108.83231990106151</v>
      </c>
      <c r="AI73">
        <v>102.61861049376752</v>
      </c>
      <c r="AJ73">
        <v>137.34166232864828</v>
      </c>
      <c r="AK73">
        <v>105.01350069327884</v>
      </c>
      <c r="AL73">
        <v>97.084183505561768</v>
      </c>
      <c r="AM73">
        <v>111.10169491525424</v>
      </c>
      <c r="AN73">
        <v>108.23350767673359</v>
      </c>
    </row>
    <row r="74" spans="1:41">
      <c r="A74" s="1">
        <f t="shared" si="1"/>
        <v>45078</v>
      </c>
      <c r="B74" s="205">
        <v>122.3</v>
      </c>
      <c r="C74" s="29">
        <v>131.4</v>
      </c>
      <c r="D74" s="216">
        <v>129.19999999999999</v>
      </c>
      <c r="E74" s="21">
        <v>124.3</v>
      </c>
      <c r="F74" s="167">
        <v>104.01</v>
      </c>
      <c r="G74" s="167">
        <v>117.5</v>
      </c>
      <c r="H74" s="167">
        <v>118.7</v>
      </c>
      <c r="I74">
        <v>163.13610908205504</v>
      </c>
      <c r="J74" s="29">
        <v>76.953336283620985</v>
      </c>
      <c r="K74" s="38">
        <v>140.22639632960036</v>
      </c>
      <c r="L74" s="29">
        <v>115.50952339155621</v>
      </c>
      <c r="M74">
        <v>113.8</v>
      </c>
      <c r="N74">
        <v>128.40759541267153</v>
      </c>
      <c r="O74">
        <v>93.542120445046208</v>
      </c>
      <c r="P74">
        <v>114.70842540109521</v>
      </c>
      <c r="Q74">
        <v>114.96784424279799</v>
      </c>
      <c r="R74">
        <v>143.79271070615033</v>
      </c>
      <c r="S74">
        <v>118.95881279263551</v>
      </c>
      <c r="T74">
        <v>101.24291058284061</v>
      </c>
      <c r="U74">
        <v>117.94305351006382</v>
      </c>
      <c r="V74">
        <v>130.08946503560344</v>
      </c>
      <c r="W74">
        <v>115.49434333497295</v>
      </c>
      <c r="X74">
        <v>134.45797564384108</v>
      </c>
      <c r="Y74">
        <v>139.4769613947696</v>
      </c>
      <c r="Z74">
        <v>126.4387861876526</v>
      </c>
      <c r="AA74">
        <v>112.72627537026878</v>
      </c>
      <c r="AB74">
        <v>95.129894720896758</v>
      </c>
      <c r="AC74">
        <v>130.03392189266765</v>
      </c>
      <c r="AD74">
        <v>124.72689275197114</v>
      </c>
      <c r="AE74">
        <v>118.69693294056491</v>
      </c>
      <c r="AF74">
        <v>120.58684335068624</v>
      </c>
      <c r="AG74">
        <v>123.2</v>
      </c>
      <c r="AH74">
        <v>112.33639080696692</v>
      </c>
      <c r="AI74">
        <v>102.81186588076145</v>
      </c>
      <c r="AJ74">
        <v>140.81207704320667</v>
      </c>
      <c r="AK74">
        <v>104.21075676859083</v>
      </c>
      <c r="AL74">
        <v>95.965247153294285</v>
      </c>
      <c r="AM74">
        <v>111.27118644067798</v>
      </c>
      <c r="AN74">
        <v>105.53399696305044</v>
      </c>
    </row>
    <row r="75" spans="1:41">
      <c r="A75" s="1">
        <f t="shared" si="1"/>
        <v>45108</v>
      </c>
      <c r="B75" s="208">
        <v>122.9</v>
      </c>
      <c r="C75" s="29">
        <v>131.5</v>
      </c>
      <c r="D75" s="216">
        <v>129.5</v>
      </c>
      <c r="E75" s="21">
        <v>129.1</v>
      </c>
      <c r="F75" s="167">
        <v>104.89</v>
      </c>
      <c r="G75" s="167">
        <v>119.6</v>
      </c>
      <c r="H75" s="167">
        <v>119.1</v>
      </c>
      <c r="I75">
        <v>159.48380813245677</v>
      </c>
      <c r="J75" s="29">
        <v>76.461621674779948</v>
      </c>
      <c r="K75" s="38">
        <v>143.22238381123148</v>
      </c>
      <c r="L75" s="29">
        <v>113.40296673395945</v>
      </c>
      <c r="M75">
        <v>110.8</v>
      </c>
      <c r="N75">
        <v>126.90355329949237</v>
      </c>
      <c r="O75">
        <v>89.421322187555191</v>
      </c>
      <c r="P75">
        <v>115.28484964934192</v>
      </c>
      <c r="Q75">
        <v>112.14870936481367</v>
      </c>
      <c r="R75">
        <v>141.32498101746393</v>
      </c>
      <c r="S75">
        <v>117.45099595270217</v>
      </c>
      <c r="T75">
        <v>95.69204778568843</v>
      </c>
      <c r="U75">
        <v>123.89543446244478</v>
      </c>
      <c r="V75">
        <v>133.01077232061348</v>
      </c>
      <c r="W75">
        <v>114.60895228726021</v>
      </c>
      <c r="X75">
        <v>131.86264723497703</v>
      </c>
      <c r="Y75">
        <v>139.4769613947696</v>
      </c>
      <c r="Z75">
        <v>124.69480292989186</v>
      </c>
      <c r="AA75">
        <v>112.72627537026878</v>
      </c>
      <c r="AB75">
        <v>89.752329016132691</v>
      </c>
      <c r="AC75">
        <v>130.64277637644602</v>
      </c>
      <c r="AD75">
        <v>124.91688040277383</v>
      </c>
      <c r="AE75">
        <v>117.65725177612201</v>
      </c>
      <c r="AF75">
        <v>111.50023663038334</v>
      </c>
      <c r="AG75">
        <v>110.21176470588235</v>
      </c>
      <c r="AH75">
        <v>109.03844171905595</v>
      </c>
      <c r="AI75">
        <v>101.55570586530099</v>
      </c>
      <c r="AJ75">
        <v>141.76644108971021</v>
      </c>
      <c r="AK75">
        <v>102.09443187623148</v>
      </c>
      <c r="AL75">
        <v>96.425985651286766</v>
      </c>
      <c r="AM75">
        <v>111.35593220338984</v>
      </c>
      <c r="AN75">
        <v>104.52168044541928</v>
      </c>
    </row>
    <row r="76" spans="1:41">
      <c r="A76" s="1">
        <f t="shared" si="1"/>
        <v>45139</v>
      </c>
      <c r="B76" s="167">
        <v>122.8</v>
      </c>
      <c r="C76" s="29">
        <v>131.6</v>
      </c>
      <c r="D76" s="216">
        <v>129.80000000000001</v>
      </c>
      <c r="E76" s="21">
        <v>143.19999999999999</v>
      </c>
      <c r="F76" s="167">
        <v>113.24</v>
      </c>
      <c r="G76" s="167">
        <v>119.3</v>
      </c>
      <c r="H76" s="167">
        <v>119.1</v>
      </c>
      <c r="I76">
        <v>157.53591429267104</v>
      </c>
      <c r="J76" s="29">
        <v>74.445591778531735</v>
      </c>
      <c r="K76" s="38">
        <v>161.6060466423055</v>
      </c>
      <c r="L76" s="29">
        <v>112.52523479329412</v>
      </c>
      <c r="M76">
        <v>110.5</v>
      </c>
      <c r="N76">
        <v>129.44162436548223</v>
      </c>
      <c r="O76">
        <v>87.419791605345253</v>
      </c>
      <c r="P76">
        <v>114.61235469305409</v>
      </c>
      <c r="Q76">
        <v>110.12245617126244</v>
      </c>
      <c r="R76">
        <v>140.47076689445709</v>
      </c>
      <c r="S76">
        <v>120.38727085151972</v>
      </c>
      <c r="T76">
        <v>93.881983830095322</v>
      </c>
      <c r="U76">
        <v>125.79774177712322</v>
      </c>
      <c r="V76">
        <v>129.54171991966408</v>
      </c>
      <c r="W76">
        <v>114.21544515494344</v>
      </c>
      <c r="X76">
        <v>131.5631862647235</v>
      </c>
      <c r="Y76">
        <v>139.18957754574194</v>
      </c>
      <c r="Z76">
        <v>126.35158702476457</v>
      </c>
      <c r="AA76">
        <v>113.36624611446332</v>
      </c>
      <c r="AB76">
        <v>92.478982049534196</v>
      </c>
      <c r="AC76">
        <v>133.68704879533792</v>
      </c>
      <c r="AD76">
        <v>125.29685570437923</v>
      </c>
      <c r="AE76">
        <v>115.5778894472362</v>
      </c>
      <c r="AF76">
        <v>114.05584477046852</v>
      </c>
      <c r="AG76">
        <v>114.54117647058824</v>
      </c>
      <c r="AH76">
        <v>106.15273626713388</v>
      </c>
      <c r="AI76">
        <v>102.2320997197797</v>
      </c>
      <c r="AJ76">
        <v>143.50164844698941</v>
      </c>
      <c r="AK76">
        <v>101.43764139239582</v>
      </c>
      <c r="AL76">
        <v>94.122293161324293</v>
      </c>
      <c r="AM76">
        <v>111.35593220338984</v>
      </c>
      <c r="AN76">
        <v>103.59372363759068</v>
      </c>
    </row>
    <row r="77" spans="1:41">
      <c r="A77" s="1">
        <f t="shared" si="1"/>
        <v>45170</v>
      </c>
      <c r="B77" s="167">
        <v>123.5</v>
      </c>
      <c r="C77" s="29">
        <v>131.69999999999999</v>
      </c>
      <c r="D77" s="216">
        <v>130.1</v>
      </c>
      <c r="E77" s="21">
        <v>151.1</v>
      </c>
      <c r="F77" s="167">
        <v>117.87</v>
      </c>
      <c r="G77" s="167">
        <v>117.2</v>
      </c>
      <c r="H77" s="167">
        <v>119.1</v>
      </c>
      <c r="I77">
        <v>168.41165489814139</v>
      </c>
      <c r="J77" s="29">
        <v>85.656684860107191</v>
      </c>
      <c r="K77" s="38">
        <v>173.39499146647546</v>
      </c>
      <c r="L77" s="29">
        <v>111.99859562889493</v>
      </c>
      <c r="M77">
        <v>110.5</v>
      </c>
      <c r="N77">
        <v>127.27956382778717</v>
      </c>
      <c r="O77">
        <v>86.360157767704706</v>
      </c>
      <c r="P77">
        <v>115.6691324815064</v>
      </c>
      <c r="Q77">
        <v>110.29865210113647</v>
      </c>
      <c r="R77">
        <v>140.09111617312072</v>
      </c>
      <c r="S77">
        <v>118.00650742004602</v>
      </c>
      <c r="T77">
        <v>94.304332086400393</v>
      </c>
      <c r="U77">
        <v>138.00932744231713</v>
      </c>
      <c r="V77">
        <v>128.99397480372468</v>
      </c>
      <c r="W77">
        <v>115.19921298573537</v>
      </c>
      <c r="X77">
        <v>130.0658814134558</v>
      </c>
      <c r="Y77">
        <v>139.18957754574194</v>
      </c>
      <c r="Z77">
        <v>126.4387861876526</v>
      </c>
      <c r="AA77">
        <v>113.36624611446332</v>
      </c>
      <c r="AB77">
        <v>93.993789290312804</v>
      </c>
      <c r="AC77">
        <v>134.38288249108464</v>
      </c>
      <c r="AD77">
        <v>124.72689275197114</v>
      </c>
      <c r="AE77">
        <v>118.09045226130655</v>
      </c>
      <c r="AF77">
        <v>115.00236630383341</v>
      </c>
      <c r="AG77">
        <v>116.04705882352941</v>
      </c>
      <c r="AH77">
        <v>108.83231990106151</v>
      </c>
      <c r="AI77">
        <v>102.61861049376752</v>
      </c>
      <c r="AJ77">
        <v>142.11348256116605</v>
      </c>
      <c r="AK77">
        <v>100.70787418813399</v>
      </c>
      <c r="AL77">
        <v>92.345158954781809</v>
      </c>
      <c r="AM77">
        <v>110.93220338983052</v>
      </c>
      <c r="AN77">
        <v>106.96811202969461</v>
      </c>
    </row>
    <row r="78" spans="1:41">
      <c r="A78" s="1">
        <f t="shared" si="1"/>
        <v>45200</v>
      </c>
      <c r="B78">
        <v>123.3</v>
      </c>
      <c r="C78" s="29">
        <v>131.9</v>
      </c>
      <c r="D78" s="216">
        <v>130.4</v>
      </c>
      <c r="E78" s="21">
        <v>146.5</v>
      </c>
      <c r="F78" s="167">
        <v>116.59</v>
      </c>
      <c r="G78" s="207">
        <v>118.1</v>
      </c>
      <c r="H78" s="207">
        <v>121.1</v>
      </c>
      <c r="I78">
        <v>170.3</v>
      </c>
      <c r="J78" s="29">
        <v>92.934061070954414</v>
      </c>
      <c r="K78" s="38">
        <v>168.14758143947654</v>
      </c>
      <c r="L78" s="29">
        <v>111.29641007636268</v>
      </c>
      <c r="M78">
        <v>109.3</v>
      </c>
      <c r="N78">
        <v>128.50159804474524</v>
      </c>
      <c r="O78">
        <v>86.831106139989402</v>
      </c>
      <c r="P78">
        <v>114.80449610913634</v>
      </c>
      <c r="Q78">
        <v>109.6819663465774</v>
      </c>
      <c r="R78">
        <v>139.90129081245254</v>
      </c>
      <c r="S78">
        <v>116.89548448535831</v>
      </c>
      <c r="T78">
        <v>92.313261735247977</v>
      </c>
      <c r="U78">
        <v>144.3912616593029</v>
      </c>
      <c r="V78">
        <v>129.90688333029033</v>
      </c>
      <c r="W78">
        <v>114.1</v>
      </c>
      <c r="X78">
        <v>129.9</v>
      </c>
      <c r="Y78">
        <v>139.6</v>
      </c>
      <c r="Z78">
        <v>125.6</v>
      </c>
      <c r="AA78">
        <v>113.3</v>
      </c>
      <c r="AB78">
        <v>95.8</v>
      </c>
      <c r="AC78">
        <v>127.9</v>
      </c>
      <c r="AD78">
        <v>124.3</v>
      </c>
      <c r="AE78" s="207">
        <v>115.1</v>
      </c>
      <c r="AF78">
        <v>113.9</v>
      </c>
      <c r="AG78">
        <v>113.9</v>
      </c>
      <c r="AH78">
        <v>110.1</v>
      </c>
      <c r="AI78">
        <v>103.2</v>
      </c>
      <c r="AJ78">
        <v>135.1</v>
      </c>
      <c r="AK78">
        <v>99.9</v>
      </c>
      <c r="AL78">
        <v>86.6</v>
      </c>
      <c r="AM78">
        <v>111.5</v>
      </c>
      <c r="AN78">
        <v>104.2</v>
      </c>
    </row>
    <row r="79" spans="1:41">
      <c r="A79" s="1">
        <f t="shared" si="1"/>
        <v>45231</v>
      </c>
      <c r="B79">
        <v>123</v>
      </c>
      <c r="C79" s="29">
        <v>132.1</v>
      </c>
      <c r="D79" s="216">
        <v>130.69999999999999</v>
      </c>
      <c r="E79" s="21">
        <v>139.4</v>
      </c>
      <c r="F79" s="167">
        <v>112.25</v>
      </c>
      <c r="G79" s="167">
        <v>116.8</v>
      </c>
      <c r="H79" s="167">
        <v>121.1</v>
      </c>
      <c r="I79">
        <v>204.4</v>
      </c>
      <c r="J79" s="29">
        <v>107.48881349264886</v>
      </c>
      <c r="K79" s="38">
        <v>159.30144088720465</v>
      </c>
      <c r="L79" s="29">
        <v>112.2</v>
      </c>
      <c r="M79">
        <v>109.2</v>
      </c>
      <c r="N79">
        <v>128.50159804474524</v>
      </c>
      <c r="O79">
        <v>88.3</v>
      </c>
      <c r="P79">
        <v>115.9</v>
      </c>
      <c r="Q79">
        <v>108.8</v>
      </c>
      <c r="R79">
        <v>139.5</v>
      </c>
      <c r="S79">
        <v>117.1</v>
      </c>
      <c r="T79">
        <v>93.4</v>
      </c>
      <c r="U79">
        <v>128.1</v>
      </c>
      <c r="V79">
        <v>129.19999999999999</v>
      </c>
      <c r="W79">
        <v>113.5</v>
      </c>
      <c r="X79">
        <v>130</v>
      </c>
      <c r="Y79">
        <v>138.19999999999999</v>
      </c>
      <c r="Z79">
        <v>126.7</v>
      </c>
      <c r="AA79">
        <v>113.1</v>
      </c>
      <c r="AB79">
        <v>94.9</v>
      </c>
      <c r="AC79">
        <v>127.3</v>
      </c>
      <c r="AD79">
        <v>123.4</v>
      </c>
      <c r="AE79" s="207">
        <v>115.9</v>
      </c>
      <c r="AF79">
        <v>117.3</v>
      </c>
      <c r="AG79">
        <v>119.1</v>
      </c>
      <c r="AH79">
        <v>109.2</v>
      </c>
      <c r="AI79">
        <v>101.9</v>
      </c>
      <c r="AJ79">
        <v>134.80000000000001</v>
      </c>
      <c r="AK79">
        <v>100</v>
      </c>
      <c r="AL79">
        <v>87.9</v>
      </c>
      <c r="AM79">
        <v>111.8</v>
      </c>
      <c r="AN79">
        <v>104.5</v>
      </c>
    </row>
    <row r="80" spans="1:41">
      <c r="A80" s="1">
        <f t="shared" si="1"/>
        <v>45261</v>
      </c>
      <c r="B80">
        <v>124.2</v>
      </c>
      <c r="C80" s="29">
        <v>132.30000000000001</v>
      </c>
      <c r="D80" s="216">
        <v>130.9</v>
      </c>
      <c r="E80" s="21">
        <v>132</v>
      </c>
      <c r="F80">
        <v>108.29</v>
      </c>
      <c r="G80">
        <v>117.9</v>
      </c>
      <c r="H80">
        <v>121.1</v>
      </c>
      <c r="I80">
        <v>224.9</v>
      </c>
      <c r="J80" s="29">
        <v>101.78492403009292</v>
      </c>
      <c r="K80" s="38">
        <v>150.73894412017594</v>
      </c>
      <c r="L80" s="29">
        <v>111.4</v>
      </c>
      <c r="M80">
        <v>109.2</v>
      </c>
      <c r="N80">
        <v>128.6</v>
      </c>
      <c r="O80">
        <v>89.3</v>
      </c>
      <c r="P80">
        <v>114.1</v>
      </c>
      <c r="Q80">
        <v>108.7</v>
      </c>
      <c r="R80">
        <v>138.80000000000001</v>
      </c>
      <c r="S80">
        <v>116.8</v>
      </c>
      <c r="T80">
        <v>93.2</v>
      </c>
      <c r="U80">
        <v>116.4</v>
      </c>
      <c r="V80">
        <v>129.6</v>
      </c>
      <c r="W80">
        <v>110.1</v>
      </c>
      <c r="X80">
        <v>129.1</v>
      </c>
      <c r="Y80">
        <v>135.6</v>
      </c>
      <c r="Z80">
        <v>128.6</v>
      </c>
      <c r="AA80">
        <v>112.9</v>
      </c>
      <c r="AB80">
        <v>95.1</v>
      </c>
      <c r="AC80">
        <v>126.2</v>
      </c>
      <c r="AD80">
        <v>123.5</v>
      </c>
      <c r="AE80" s="207">
        <v>116.1</v>
      </c>
      <c r="AF80">
        <v>116.1</v>
      </c>
      <c r="AG80">
        <v>117.6</v>
      </c>
      <c r="AH80">
        <v>107.8</v>
      </c>
      <c r="AI80">
        <v>101.8</v>
      </c>
      <c r="AJ80">
        <v>138.69999999999999</v>
      </c>
      <c r="AK80">
        <v>99.6</v>
      </c>
      <c r="AL80">
        <v>88.3</v>
      </c>
      <c r="AM80">
        <v>111.1</v>
      </c>
      <c r="AN80">
        <v>104.4</v>
      </c>
    </row>
    <row r="81" spans="1:40">
      <c r="A81" s="1">
        <f t="shared" si="1"/>
        <v>45292</v>
      </c>
      <c r="B81">
        <v>124</v>
      </c>
      <c r="C81" s="201">
        <v>132.5</v>
      </c>
      <c r="D81" s="216">
        <v>131.19999999999999</v>
      </c>
      <c r="E81" s="21">
        <v>146.30000000000001</v>
      </c>
      <c r="F81" s="167">
        <v>106.91</v>
      </c>
      <c r="G81" s="167">
        <v>116.8</v>
      </c>
      <c r="H81" s="167">
        <v>124</v>
      </c>
      <c r="I81">
        <v>209.3</v>
      </c>
      <c r="J81">
        <v>82.3</v>
      </c>
      <c r="K81" s="38">
        <v>148.45206610165278</v>
      </c>
      <c r="L81">
        <v>110</v>
      </c>
      <c r="M81" s="210">
        <v>106.9</v>
      </c>
      <c r="N81">
        <v>129.19999999999999</v>
      </c>
      <c r="O81">
        <v>90.3</v>
      </c>
      <c r="P81">
        <v>117.2</v>
      </c>
      <c r="Q81">
        <v>107.1</v>
      </c>
      <c r="R81">
        <v>145.4</v>
      </c>
      <c r="S81">
        <v>109.4</v>
      </c>
      <c r="T81">
        <v>93.2</v>
      </c>
      <c r="U81">
        <v>112.4</v>
      </c>
      <c r="V81">
        <v>129.5</v>
      </c>
      <c r="W81">
        <v>115.1</v>
      </c>
      <c r="X81">
        <v>128.19999999999999</v>
      </c>
      <c r="Y81">
        <v>138.4</v>
      </c>
      <c r="Z81">
        <v>128.4</v>
      </c>
      <c r="AA81">
        <v>112.8</v>
      </c>
      <c r="AB81">
        <v>92.3</v>
      </c>
      <c r="AC81">
        <v>127.5</v>
      </c>
      <c r="AD81">
        <v>123.2</v>
      </c>
      <c r="AE81" s="207">
        <v>118.6</v>
      </c>
      <c r="AF81">
        <v>115.9</v>
      </c>
      <c r="AG81">
        <v>117.1</v>
      </c>
      <c r="AH81">
        <v>106.4</v>
      </c>
      <c r="AI81">
        <v>100.4</v>
      </c>
      <c r="AJ81">
        <v>140.19999999999999</v>
      </c>
      <c r="AK81">
        <v>97.9</v>
      </c>
      <c r="AL81">
        <v>88.5</v>
      </c>
      <c r="AM81">
        <v>115.2</v>
      </c>
      <c r="AN81">
        <v>107.3</v>
      </c>
    </row>
    <row r="82" spans="1:40">
      <c r="A82" s="1">
        <f t="shared" si="1"/>
        <v>45323</v>
      </c>
      <c r="B82">
        <v>124.1</v>
      </c>
      <c r="C82" s="201">
        <v>132.69999999999999</v>
      </c>
      <c r="D82" s="216">
        <v>131.4</v>
      </c>
      <c r="E82" s="21">
        <v>152.9</v>
      </c>
      <c r="F82" s="167">
        <v>111.34</v>
      </c>
      <c r="G82" s="207">
        <v>117.8</v>
      </c>
      <c r="H82" s="167">
        <v>124</v>
      </c>
      <c r="I82" s="210">
        <v>193</v>
      </c>
      <c r="J82" s="210">
        <v>68.900000000000006</v>
      </c>
      <c r="K82" s="38">
        <v>159.28371315062699</v>
      </c>
      <c r="L82" s="210">
        <v>107.7</v>
      </c>
      <c r="M82" s="210">
        <v>106.9</v>
      </c>
      <c r="N82" s="210">
        <v>130.4</v>
      </c>
      <c r="O82" s="210">
        <v>91.2</v>
      </c>
      <c r="P82" s="210">
        <v>118.2</v>
      </c>
      <c r="Q82" s="210">
        <v>107.2</v>
      </c>
      <c r="R82" s="210">
        <v>144.5</v>
      </c>
      <c r="S82" s="210">
        <v>108.4</v>
      </c>
      <c r="T82" s="210">
        <v>95.4</v>
      </c>
      <c r="U82" s="210">
        <v>112.4</v>
      </c>
      <c r="V82" s="210">
        <v>124.4</v>
      </c>
      <c r="W82" s="210">
        <v>116.7</v>
      </c>
      <c r="X82" s="210">
        <v>129.1</v>
      </c>
      <c r="Y82" s="210">
        <v>138.6</v>
      </c>
      <c r="Z82" s="210">
        <v>126.6</v>
      </c>
      <c r="AA82" s="210">
        <v>112.5</v>
      </c>
      <c r="AB82">
        <v>93.5</v>
      </c>
      <c r="AC82">
        <v>125.1</v>
      </c>
      <c r="AD82" s="210">
        <v>122.2</v>
      </c>
      <c r="AE82" s="207">
        <v>116.3</v>
      </c>
      <c r="AF82" s="210">
        <v>118.7</v>
      </c>
      <c r="AG82" s="210">
        <v>121.8</v>
      </c>
      <c r="AH82" s="210">
        <v>108.7</v>
      </c>
      <c r="AI82" s="210">
        <v>100.2</v>
      </c>
      <c r="AJ82" s="210">
        <v>137.5</v>
      </c>
      <c r="AK82" s="210">
        <v>98.8</v>
      </c>
      <c r="AL82" s="210">
        <v>88.2</v>
      </c>
      <c r="AM82">
        <v>115.9</v>
      </c>
      <c r="AN82" s="210">
        <v>107.9</v>
      </c>
    </row>
    <row r="83" spans="1:40">
      <c r="A83" s="1">
        <f t="shared" si="1"/>
        <v>45352</v>
      </c>
      <c r="B83">
        <v>124.5</v>
      </c>
      <c r="C83" s="201">
        <v>132.9</v>
      </c>
      <c r="D83" s="216">
        <v>131.69999999999999</v>
      </c>
      <c r="E83" s="187">
        <v>149.80000000000001</v>
      </c>
      <c r="F83" s="38">
        <v>109.98</v>
      </c>
      <c r="G83">
        <v>117.4</v>
      </c>
      <c r="H83">
        <v>124</v>
      </c>
      <c r="I83">
        <v>185.9</v>
      </c>
      <c r="J83" s="210">
        <v>63.2</v>
      </c>
      <c r="K83" s="38">
        <v>155.41906657668858</v>
      </c>
      <c r="L83" s="210">
        <v>105.2</v>
      </c>
      <c r="M83" s="210">
        <v>106.9</v>
      </c>
      <c r="N83" s="210">
        <v>129.4</v>
      </c>
      <c r="O83" s="210">
        <v>90.7</v>
      </c>
      <c r="P83" s="210">
        <v>117.7</v>
      </c>
      <c r="Q83" s="210">
        <v>105.6</v>
      </c>
      <c r="R83" s="210">
        <v>144</v>
      </c>
      <c r="S83" s="210">
        <v>107.8</v>
      </c>
      <c r="T83" s="210">
        <v>95.1</v>
      </c>
      <c r="U83" s="210">
        <v>120.2</v>
      </c>
      <c r="V83" s="210">
        <v>129.19999999999999</v>
      </c>
      <c r="W83" s="210">
        <v>116.7</v>
      </c>
      <c r="X83" s="210">
        <v>126.9</v>
      </c>
      <c r="Y83" s="210">
        <v>138.4</v>
      </c>
      <c r="Z83" s="210">
        <v>130.4</v>
      </c>
      <c r="AA83">
        <v>113.1</v>
      </c>
      <c r="AB83">
        <v>96.2</v>
      </c>
      <c r="AC83">
        <v>124.8</v>
      </c>
      <c r="AD83">
        <v>122.2</v>
      </c>
      <c r="AE83" s="207">
        <v>119</v>
      </c>
      <c r="AF83" s="210">
        <v>117.1</v>
      </c>
      <c r="AG83" s="210">
        <v>119.6</v>
      </c>
      <c r="AH83" s="210">
        <v>108.3</v>
      </c>
      <c r="AI83" s="210">
        <v>99.9</v>
      </c>
      <c r="AJ83" s="210">
        <v>137.30000000000001</v>
      </c>
      <c r="AK83" s="210">
        <v>97.7</v>
      </c>
      <c r="AL83" s="210">
        <v>89.2</v>
      </c>
      <c r="AM83">
        <v>115.6</v>
      </c>
      <c r="AN83" s="210">
        <v>109.9</v>
      </c>
    </row>
    <row r="84" spans="1:40">
      <c r="A84" s="1">
        <f t="shared" si="1"/>
        <v>45383</v>
      </c>
      <c r="B84" s="207">
        <v>125</v>
      </c>
      <c r="C84" s="201">
        <v>133.30000000000001</v>
      </c>
      <c r="D84" s="216">
        <v>132</v>
      </c>
      <c r="E84" s="187">
        <v>147.9</v>
      </c>
      <c r="F84" s="38">
        <v>109.42</v>
      </c>
      <c r="G84">
        <v>118.2</v>
      </c>
      <c r="H84">
        <v>123.4</v>
      </c>
      <c r="I84">
        <v>165.3</v>
      </c>
      <c r="J84" s="210">
        <v>66.7</v>
      </c>
      <c r="K84" s="38">
        <v>154.33767464544894</v>
      </c>
      <c r="L84" s="210">
        <v>103.9</v>
      </c>
      <c r="M84" s="210">
        <v>107.7</v>
      </c>
      <c r="N84" s="210">
        <v>129.69999999999999</v>
      </c>
      <c r="O84" s="210">
        <v>89.2</v>
      </c>
      <c r="P84" s="210">
        <v>118.6</v>
      </c>
      <c r="Q84" s="210">
        <v>106.8</v>
      </c>
      <c r="R84" s="210">
        <v>143.9</v>
      </c>
      <c r="S84" s="210">
        <v>109.9</v>
      </c>
      <c r="T84" s="210">
        <v>91.9</v>
      </c>
      <c r="U84" s="210">
        <v>126.2</v>
      </c>
      <c r="V84" s="210">
        <v>128.1</v>
      </c>
      <c r="W84" s="210">
        <v>115.9</v>
      </c>
      <c r="X84" s="210">
        <v>127.6</v>
      </c>
      <c r="Y84" s="210">
        <v>137.30000000000001</v>
      </c>
      <c r="Z84" s="210">
        <v>130</v>
      </c>
      <c r="AA84">
        <v>113</v>
      </c>
      <c r="AB84">
        <v>98.8</v>
      </c>
      <c r="AC84">
        <v>122.3</v>
      </c>
      <c r="AD84">
        <v>121.5</v>
      </c>
      <c r="AE84" s="207">
        <v>122.9</v>
      </c>
      <c r="AF84" s="210">
        <v>114</v>
      </c>
      <c r="AG84" s="210">
        <v>115.6</v>
      </c>
      <c r="AH84" s="210">
        <v>105.7</v>
      </c>
      <c r="AI84" s="210">
        <v>100</v>
      </c>
      <c r="AJ84" s="210">
        <v>137.19999999999999</v>
      </c>
      <c r="AK84" s="210">
        <v>97</v>
      </c>
      <c r="AL84" s="210">
        <v>90</v>
      </c>
      <c r="AM84">
        <v>115.6</v>
      </c>
      <c r="AN84" s="210">
        <v>109.7</v>
      </c>
    </row>
    <row r="85" spans="1:40">
      <c r="A85" s="1">
        <f t="shared" si="1"/>
        <v>45413</v>
      </c>
      <c r="B85" s="207">
        <v>124.9</v>
      </c>
      <c r="C85" s="201">
        <v>133.69999999999999</v>
      </c>
      <c r="D85" s="216">
        <v>132.30000000000001</v>
      </c>
      <c r="E85" s="187">
        <v>141.19999999999999</v>
      </c>
      <c r="F85" s="205">
        <v>105.67</v>
      </c>
      <c r="G85">
        <v>118.3</v>
      </c>
      <c r="H85">
        <v>123.4</v>
      </c>
      <c r="I85">
        <v>125.8</v>
      </c>
      <c r="J85" s="205">
        <v>72.3</v>
      </c>
      <c r="K85" s="38">
        <v>144.88879104953529</v>
      </c>
      <c r="L85" s="205">
        <v>104.1</v>
      </c>
      <c r="M85" s="210">
        <v>107.7</v>
      </c>
      <c r="N85" s="205">
        <v>129</v>
      </c>
      <c r="O85" s="205">
        <v>89</v>
      </c>
      <c r="P85" s="205">
        <v>115.2</v>
      </c>
      <c r="Q85" s="205">
        <v>107.7</v>
      </c>
      <c r="R85" s="205">
        <v>143.6</v>
      </c>
      <c r="S85" s="205">
        <v>107.8</v>
      </c>
      <c r="T85" s="205">
        <v>92.7</v>
      </c>
      <c r="U85" s="205">
        <v>132.80000000000001</v>
      </c>
      <c r="V85" s="205">
        <v>130.80000000000001</v>
      </c>
      <c r="W85" s="205">
        <v>114.8</v>
      </c>
      <c r="X85" s="205">
        <v>128.80000000000001</v>
      </c>
      <c r="Y85" s="205">
        <v>139.6</v>
      </c>
      <c r="Z85">
        <v>129.80000000000001</v>
      </c>
      <c r="AA85">
        <v>113.5</v>
      </c>
      <c r="AB85">
        <v>98</v>
      </c>
      <c r="AC85">
        <v>124.8</v>
      </c>
      <c r="AD85">
        <v>122</v>
      </c>
      <c r="AE85">
        <v>124.7</v>
      </c>
      <c r="AF85" s="210">
        <v>117.5</v>
      </c>
      <c r="AG85" s="205">
        <v>120.7</v>
      </c>
      <c r="AH85" s="205">
        <v>107.4</v>
      </c>
      <c r="AI85" s="205">
        <v>98.4</v>
      </c>
      <c r="AJ85" s="212">
        <v>137.19999999999999</v>
      </c>
      <c r="AK85" s="208">
        <v>97</v>
      </c>
      <c r="AL85" s="208">
        <v>90</v>
      </c>
      <c r="AM85" s="213">
        <v>115.9</v>
      </c>
      <c r="AN85" s="208">
        <v>112</v>
      </c>
    </row>
    <row r="86" spans="1:40">
      <c r="A86" s="1">
        <f t="shared" si="1"/>
        <v>45444</v>
      </c>
      <c r="B86" s="207">
        <v>125</v>
      </c>
      <c r="C86" s="201">
        <v>134</v>
      </c>
      <c r="D86" s="216">
        <v>132.6</v>
      </c>
      <c r="E86" s="187">
        <v>142.19999999999999</v>
      </c>
      <c r="F86" s="38">
        <v>104.4</v>
      </c>
      <c r="G86">
        <v>118.6</v>
      </c>
      <c r="H86">
        <v>123.4</v>
      </c>
      <c r="I86">
        <v>115.9</v>
      </c>
      <c r="J86" s="38">
        <v>79.400000000000006</v>
      </c>
      <c r="K86" s="38">
        <v>142.99192323572146</v>
      </c>
      <c r="L86" s="38">
        <v>104.7</v>
      </c>
      <c r="M86" s="38">
        <v>107.9</v>
      </c>
      <c r="N86" s="38">
        <v>128.5</v>
      </c>
      <c r="O86" s="38">
        <v>88.3</v>
      </c>
      <c r="P86" s="38">
        <v>114.7</v>
      </c>
      <c r="Q86" s="38">
        <v>109.3</v>
      </c>
      <c r="R86" s="38">
        <v>142.5</v>
      </c>
      <c r="S86" s="38">
        <v>109.2</v>
      </c>
      <c r="T86" s="38">
        <v>91.9</v>
      </c>
      <c r="U86" s="169">
        <v>128.80000000000001</v>
      </c>
      <c r="V86" s="38">
        <v>124.9</v>
      </c>
      <c r="W86" s="38">
        <v>115.1</v>
      </c>
      <c r="X86" s="38">
        <v>127.6</v>
      </c>
      <c r="Y86" s="38">
        <v>139.6</v>
      </c>
      <c r="Z86" s="134">
        <v>129.80000000000001</v>
      </c>
      <c r="AA86">
        <v>113.5</v>
      </c>
      <c r="AB86" s="134">
        <v>96.5</v>
      </c>
      <c r="AC86">
        <v>122.1</v>
      </c>
      <c r="AD86">
        <v>120.7</v>
      </c>
      <c r="AE86" s="134">
        <v>127.4</v>
      </c>
      <c r="AF86" s="210">
        <v>115</v>
      </c>
      <c r="AG86" s="210">
        <v>117.4</v>
      </c>
      <c r="AH86" s="210">
        <v>107</v>
      </c>
      <c r="AI86" s="210">
        <v>98.6</v>
      </c>
      <c r="AJ86" s="212">
        <v>133.1</v>
      </c>
      <c r="AK86" s="212">
        <v>96.9</v>
      </c>
      <c r="AL86" s="212">
        <v>86.6</v>
      </c>
      <c r="AM86" s="212">
        <v>115.3</v>
      </c>
      <c r="AN86" s="212">
        <v>113.2</v>
      </c>
    </row>
    <row r="87" spans="1:40">
      <c r="A87" s="1">
        <f t="shared" si="1"/>
        <v>45474</v>
      </c>
      <c r="B87" s="207">
        <v>125</v>
      </c>
      <c r="C87" s="201">
        <v>134.6</v>
      </c>
      <c r="D87" s="216">
        <v>132.9</v>
      </c>
      <c r="E87" s="187">
        <v>140</v>
      </c>
      <c r="F87" s="38">
        <v>105.53</v>
      </c>
      <c r="G87" s="134">
        <v>120.2</v>
      </c>
      <c r="H87" s="134">
        <v>124.2</v>
      </c>
      <c r="I87">
        <v>112.9</v>
      </c>
      <c r="J87" s="38">
        <v>82</v>
      </c>
      <c r="K87" s="38">
        <v>144.23286479616041</v>
      </c>
      <c r="L87" s="38">
        <v>104.7</v>
      </c>
      <c r="M87" s="38">
        <v>109.5</v>
      </c>
      <c r="N87" s="38">
        <v>128.6</v>
      </c>
      <c r="O87" s="38">
        <v>88.3</v>
      </c>
      <c r="P87" s="38">
        <v>114.4</v>
      </c>
      <c r="Q87" s="38">
        <v>107.9</v>
      </c>
      <c r="R87" s="38">
        <v>142.6</v>
      </c>
      <c r="S87" s="38">
        <v>107.9</v>
      </c>
      <c r="T87" s="38">
        <v>92</v>
      </c>
      <c r="U87" s="38">
        <v>132</v>
      </c>
      <c r="V87" s="38">
        <v>130.6</v>
      </c>
      <c r="W87" s="38">
        <v>113.7</v>
      </c>
      <c r="X87" s="38">
        <v>127.8</v>
      </c>
      <c r="Y87" s="38">
        <v>138.9</v>
      </c>
      <c r="Z87">
        <v>128.30000000000001</v>
      </c>
      <c r="AA87">
        <v>113.8</v>
      </c>
      <c r="AB87">
        <v>92.6</v>
      </c>
      <c r="AC87">
        <v>126.5</v>
      </c>
      <c r="AD87">
        <v>120.9</v>
      </c>
      <c r="AE87">
        <v>127.6</v>
      </c>
      <c r="AF87" s="212">
        <v>117.2</v>
      </c>
      <c r="AG87" s="212">
        <v>120.3</v>
      </c>
      <c r="AH87" s="212">
        <v>104.4</v>
      </c>
      <c r="AI87" s="212">
        <v>97.2</v>
      </c>
      <c r="AJ87" s="212">
        <v>136.9</v>
      </c>
      <c r="AK87" s="212">
        <v>96.2</v>
      </c>
      <c r="AL87" s="212">
        <v>85.2</v>
      </c>
      <c r="AM87" s="212">
        <v>114.8</v>
      </c>
      <c r="AN87" s="212">
        <v>112.1</v>
      </c>
    </row>
    <row r="88" spans="1:40">
      <c r="A88" s="1">
        <f t="shared" si="1"/>
        <v>45505</v>
      </c>
      <c r="B88" s="207">
        <v>125.4</v>
      </c>
      <c r="C88" s="201">
        <v>135.1</v>
      </c>
      <c r="D88" s="216">
        <v>133.19999999999999</v>
      </c>
      <c r="E88" s="187">
        <v>131.69999999999999</v>
      </c>
      <c r="F88" s="38">
        <v>101.84</v>
      </c>
      <c r="G88" s="134">
        <v>120.9</v>
      </c>
      <c r="H88" s="134">
        <v>124.2</v>
      </c>
      <c r="I88">
        <v>121.6</v>
      </c>
      <c r="J88">
        <v>82.9</v>
      </c>
      <c r="K88" s="38">
        <v>134.74852572709136</v>
      </c>
      <c r="L88" s="38">
        <v>103.5</v>
      </c>
      <c r="M88" s="38">
        <v>109.5</v>
      </c>
      <c r="N88" s="38">
        <v>129.19999999999999</v>
      </c>
      <c r="O88" s="38">
        <v>88.3</v>
      </c>
      <c r="P88" s="38">
        <v>115.3</v>
      </c>
      <c r="Q88" s="38">
        <v>107.5</v>
      </c>
      <c r="R88" s="38">
        <v>142.80000000000001</v>
      </c>
      <c r="S88" s="38">
        <v>108.8</v>
      </c>
      <c r="T88" s="38">
        <v>90.6</v>
      </c>
      <c r="U88" s="169">
        <v>132.69999999999999</v>
      </c>
      <c r="V88" s="38">
        <v>127.7</v>
      </c>
      <c r="W88" s="38">
        <v>117.1</v>
      </c>
      <c r="X88" s="38">
        <v>127.5</v>
      </c>
      <c r="Y88" s="38">
        <v>140.6</v>
      </c>
      <c r="Z88">
        <v>128.80000000000001</v>
      </c>
      <c r="AA88">
        <v>114.1</v>
      </c>
      <c r="AB88">
        <v>92.8</v>
      </c>
      <c r="AC88">
        <v>127.2</v>
      </c>
      <c r="AD88">
        <v>120.2</v>
      </c>
      <c r="AE88">
        <v>126.4</v>
      </c>
      <c r="AF88" s="212">
        <v>114.9</v>
      </c>
      <c r="AG88" s="212">
        <v>116.8</v>
      </c>
      <c r="AH88" s="212">
        <v>106.7</v>
      </c>
      <c r="AI88" s="212">
        <v>97.4</v>
      </c>
      <c r="AJ88" s="212">
        <v>136.69999999999999</v>
      </c>
      <c r="AK88" s="212">
        <v>94.5</v>
      </c>
      <c r="AL88" s="212">
        <v>86.7</v>
      </c>
      <c r="AM88" s="212">
        <v>115.3</v>
      </c>
      <c r="AN88" s="212">
        <v>112</v>
      </c>
    </row>
    <row r="89" spans="1:40">
      <c r="A89" s="1">
        <f t="shared" si="1"/>
        <v>45536</v>
      </c>
      <c r="B89" s="207">
        <v>125.3</v>
      </c>
      <c r="C89" s="201">
        <v>135.69999999999999</v>
      </c>
      <c r="D89" s="216">
        <v>133.6</v>
      </c>
      <c r="E89" s="21">
        <v>129.1</v>
      </c>
      <c r="F89" s="38">
        <v>98.38</v>
      </c>
      <c r="G89">
        <v>117.1</v>
      </c>
      <c r="H89">
        <v>124.2</v>
      </c>
      <c r="I89">
        <v>127.8</v>
      </c>
      <c r="J89" s="38">
        <v>91.3</v>
      </c>
      <c r="K89" s="38">
        <v>127.24969315472461</v>
      </c>
      <c r="L89" s="38">
        <v>103.4</v>
      </c>
      <c r="M89" s="38">
        <v>109.5</v>
      </c>
      <c r="N89" s="38">
        <v>128.1</v>
      </c>
      <c r="O89" s="38">
        <v>89.1</v>
      </c>
      <c r="P89" s="38">
        <v>114.8</v>
      </c>
      <c r="Q89" s="38">
        <v>108.1</v>
      </c>
      <c r="R89" s="38">
        <v>141.9</v>
      </c>
      <c r="S89" s="38">
        <v>103.6</v>
      </c>
      <c r="T89" s="38">
        <v>93.7</v>
      </c>
      <c r="U89" s="169">
        <v>121.5</v>
      </c>
      <c r="V89" s="38">
        <v>126</v>
      </c>
      <c r="W89" s="38">
        <v>115.5</v>
      </c>
      <c r="X89">
        <v>126.6</v>
      </c>
      <c r="Y89" s="38">
        <v>139.5</v>
      </c>
      <c r="Z89">
        <v>126.2</v>
      </c>
      <c r="AA89" s="38">
        <v>114.3</v>
      </c>
      <c r="AB89" s="38">
        <v>94.7</v>
      </c>
      <c r="AC89">
        <v>124.7</v>
      </c>
      <c r="AD89">
        <v>118.6</v>
      </c>
      <c r="AE89">
        <v>125.3</v>
      </c>
      <c r="AF89" s="212">
        <v>120.4</v>
      </c>
      <c r="AG89" s="212">
        <v>125.9</v>
      </c>
      <c r="AH89" s="212">
        <v>108</v>
      </c>
      <c r="AI89" s="212">
        <v>96.9</v>
      </c>
      <c r="AJ89" s="212">
        <v>133.69999999999999</v>
      </c>
      <c r="AK89" s="212">
        <v>95.4</v>
      </c>
      <c r="AL89" s="212">
        <v>84.1</v>
      </c>
      <c r="AM89" s="212">
        <v>115.1</v>
      </c>
      <c r="AN89" s="212">
        <v>111.7</v>
      </c>
    </row>
    <row r="90" spans="1:40">
      <c r="A90" s="1">
        <f t="shared" si="1"/>
        <v>45566</v>
      </c>
      <c r="B90" s="207">
        <v>125</v>
      </c>
      <c r="C90" s="42">
        <v>136.1</v>
      </c>
      <c r="D90" s="216">
        <v>133.80000000000001</v>
      </c>
      <c r="E90" s="21">
        <v>132.19999999999999</v>
      </c>
      <c r="F90">
        <v>99.27</v>
      </c>
      <c r="G90">
        <v>118</v>
      </c>
      <c r="H90">
        <v>124.1</v>
      </c>
      <c r="I90">
        <v>137.5</v>
      </c>
      <c r="J90">
        <v>90.1</v>
      </c>
      <c r="K90" s="38">
        <v>129.53657117324781</v>
      </c>
      <c r="L90">
        <v>103.1</v>
      </c>
      <c r="M90">
        <v>109.3</v>
      </c>
      <c r="N90">
        <v>128.19999999999999</v>
      </c>
      <c r="O90">
        <v>86.4</v>
      </c>
      <c r="P90">
        <v>114</v>
      </c>
      <c r="Q90">
        <v>108.8</v>
      </c>
      <c r="R90">
        <v>142.6</v>
      </c>
      <c r="S90">
        <v>104</v>
      </c>
      <c r="T90">
        <v>90.7</v>
      </c>
      <c r="U90">
        <v>114.1</v>
      </c>
      <c r="V90">
        <v>127.3</v>
      </c>
      <c r="W90">
        <v>116.5</v>
      </c>
      <c r="X90">
        <v>126.9</v>
      </c>
      <c r="Y90">
        <v>139.1</v>
      </c>
      <c r="Z90">
        <v>126.6</v>
      </c>
      <c r="AA90">
        <v>114.2</v>
      </c>
      <c r="AB90">
        <v>93.9</v>
      </c>
      <c r="AC90">
        <v>121.2</v>
      </c>
      <c r="AD90">
        <v>119</v>
      </c>
      <c r="AE90">
        <v>124.5</v>
      </c>
      <c r="AF90" s="213">
        <v>117.7</v>
      </c>
      <c r="AG90" s="213">
        <v>120.7</v>
      </c>
      <c r="AH90" s="213">
        <v>107</v>
      </c>
      <c r="AI90" s="213">
        <v>87.5</v>
      </c>
      <c r="AJ90" s="213">
        <v>138</v>
      </c>
      <c r="AK90" s="213">
        <v>94.6</v>
      </c>
      <c r="AL90" s="213">
        <v>85.3</v>
      </c>
      <c r="AM90" s="213">
        <v>115.2</v>
      </c>
      <c r="AN90" s="213">
        <v>108.8</v>
      </c>
    </row>
    <row r="91" spans="1:40">
      <c r="A91" s="1">
        <f t="shared" si="1"/>
        <v>45597</v>
      </c>
      <c r="B91">
        <v>124.8</v>
      </c>
      <c r="C91" s="42">
        <v>136.5</v>
      </c>
      <c r="D91" s="216">
        <v>134.1</v>
      </c>
      <c r="E91" s="21">
        <v>133.80000000000001</v>
      </c>
      <c r="F91">
        <v>100.25</v>
      </c>
      <c r="G91">
        <v>118.5</v>
      </c>
      <c r="H91">
        <v>124.1</v>
      </c>
      <c r="I91">
        <v>156.5</v>
      </c>
      <c r="J91">
        <v>103.1</v>
      </c>
      <c r="K91" s="38">
        <v>132.58574186461206</v>
      </c>
      <c r="L91">
        <v>102.9</v>
      </c>
      <c r="M91">
        <v>109.3</v>
      </c>
      <c r="N91">
        <v>127.7</v>
      </c>
      <c r="O91">
        <v>85.7</v>
      </c>
      <c r="P91">
        <v>113.9</v>
      </c>
      <c r="Q91">
        <v>107.5</v>
      </c>
      <c r="R91">
        <v>140.5</v>
      </c>
      <c r="S91">
        <v>106.2</v>
      </c>
      <c r="T91">
        <v>90.6</v>
      </c>
      <c r="U91">
        <v>128.6</v>
      </c>
      <c r="V91">
        <v>127.8</v>
      </c>
      <c r="W91">
        <v>114.4</v>
      </c>
      <c r="X91">
        <v>127.4</v>
      </c>
      <c r="Y91">
        <v>137.5</v>
      </c>
      <c r="Z91">
        <v>127.7</v>
      </c>
      <c r="AA91">
        <v>114.1</v>
      </c>
      <c r="AB91">
        <v>93.9</v>
      </c>
      <c r="AC91">
        <v>123.4</v>
      </c>
      <c r="AD91">
        <v>118.9</v>
      </c>
      <c r="AE91">
        <v>123.7</v>
      </c>
      <c r="AF91" s="213">
        <v>119.9</v>
      </c>
      <c r="AG91" s="213">
        <v>124.3</v>
      </c>
      <c r="AH91">
        <v>106.1</v>
      </c>
      <c r="AI91">
        <v>88.7</v>
      </c>
      <c r="AJ91">
        <v>135.69999999999999</v>
      </c>
      <c r="AK91">
        <v>94.2</v>
      </c>
      <c r="AL91">
        <v>83.3</v>
      </c>
      <c r="AM91">
        <v>115.2</v>
      </c>
      <c r="AN91">
        <v>108.8</v>
      </c>
    </row>
    <row r="92" spans="1:40">
      <c r="A92" s="1">
        <f t="shared" si="1"/>
        <v>45627</v>
      </c>
      <c r="B92">
        <v>124.9</v>
      </c>
      <c r="C92" s="202">
        <v>136.9</v>
      </c>
      <c r="D92" s="216">
        <v>134.30000000000001</v>
      </c>
      <c r="E92" s="21">
        <v>135.5</v>
      </c>
      <c r="F92">
        <v>101.49</v>
      </c>
      <c r="G92">
        <v>119.4</v>
      </c>
      <c r="H92">
        <v>124.1</v>
      </c>
      <c r="I92">
        <v>172.9</v>
      </c>
      <c r="J92">
        <v>111.3</v>
      </c>
      <c r="K92" s="38">
        <v>135.15626366837844</v>
      </c>
      <c r="L92">
        <v>102.7</v>
      </c>
      <c r="M92">
        <v>109.3</v>
      </c>
      <c r="N92">
        <v>128.1</v>
      </c>
      <c r="O92">
        <v>85.8</v>
      </c>
      <c r="P92">
        <v>114.4</v>
      </c>
      <c r="Q92">
        <v>108</v>
      </c>
      <c r="R92">
        <v>141.69999999999999</v>
      </c>
      <c r="S92">
        <v>109.5</v>
      </c>
      <c r="T92">
        <v>90.4</v>
      </c>
      <c r="U92" s="169">
        <v>122.2</v>
      </c>
      <c r="V92">
        <v>133.4</v>
      </c>
      <c r="W92">
        <v>113.3</v>
      </c>
      <c r="X92">
        <v>127.6</v>
      </c>
      <c r="Y92">
        <v>134.80000000000001</v>
      </c>
      <c r="Z92">
        <v>128.69999999999999</v>
      </c>
      <c r="AA92">
        <v>114.3</v>
      </c>
      <c r="AB92">
        <v>93</v>
      </c>
      <c r="AC92">
        <v>121.9</v>
      </c>
      <c r="AD92">
        <v>119.7</v>
      </c>
      <c r="AE92">
        <v>120.2</v>
      </c>
      <c r="AF92" s="213">
        <v>120.6</v>
      </c>
      <c r="AG92">
        <v>124.4</v>
      </c>
      <c r="AH92">
        <v>105.8</v>
      </c>
      <c r="AI92">
        <v>89.8</v>
      </c>
      <c r="AJ92">
        <v>136.9</v>
      </c>
      <c r="AK92">
        <v>94.2</v>
      </c>
      <c r="AL92">
        <v>83.4</v>
      </c>
      <c r="AM92">
        <v>115.6</v>
      </c>
      <c r="AN92">
        <v>107.4</v>
      </c>
    </row>
    <row r="93" spans="1:40">
      <c r="A93" s="1">
        <f t="shared" si="1"/>
        <v>45658</v>
      </c>
      <c r="B93">
        <v>124.3</v>
      </c>
      <c r="C93" s="202">
        <v>137.19999999999999</v>
      </c>
      <c r="D93" s="216">
        <v>134.6</v>
      </c>
      <c r="E93" s="21">
        <v>157.1</v>
      </c>
      <c r="F93">
        <v>104.75</v>
      </c>
      <c r="G93">
        <v>118</v>
      </c>
      <c r="H93">
        <v>123.5</v>
      </c>
      <c r="I93">
        <v>182.9</v>
      </c>
      <c r="J93">
        <v>115.1</v>
      </c>
      <c r="K93">
        <v>143.16999999999999</v>
      </c>
      <c r="L93">
        <v>102.1</v>
      </c>
      <c r="M93">
        <v>110.9</v>
      </c>
      <c r="N93">
        <v>131.19999999999999</v>
      </c>
      <c r="O93">
        <v>86.3</v>
      </c>
      <c r="P93">
        <v>116.8</v>
      </c>
      <c r="Q93">
        <v>107.1</v>
      </c>
      <c r="R93">
        <v>147.5</v>
      </c>
      <c r="S93">
        <v>118.1</v>
      </c>
      <c r="T93">
        <v>90.3</v>
      </c>
      <c r="U93">
        <v>124</v>
      </c>
      <c r="V93">
        <v>125.8</v>
      </c>
      <c r="W93">
        <v>115.4</v>
      </c>
      <c r="X93">
        <v>127.2</v>
      </c>
      <c r="Y93">
        <v>139.80000000000001</v>
      </c>
      <c r="Z93">
        <v>127.5</v>
      </c>
      <c r="AA93">
        <v>115.1</v>
      </c>
      <c r="AB93">
        <v>94.2</v>
      </c>
      <c r="AC93">
        <v>123.3</v>
      </c>
      <c r="AD93">
        <v>118.1</v>
      </c>
      <c r="AE93">
        <v>123.9</v>
      </c>
      <c r="AF93">
        <v>117.4</v>
      </c>
      <c r="AG93">
        <v>119.9</v>
      </c>
      <c r="AH93">
        <v>106.3</v>
      </c>
      <c r="AI93">
        <v>87.7</v>
      </c>
      <c r="AJ93">
        <v>134.4</v>
      </c>
      <c r="AK93">
        <v>92.7</v>
      </c>
      <c r="AL93">
        <v>80.400000000000006</v>
      </c>
      <c r="AM93">
        <v>118.1</v>
      </c>
      <c r="AN93">
        <v>109</v>
      </c>
    </row>
    <row r="94" spans="1:40">
      <c r="A94" s="1">
        <f t="shared" si="1"/>
        <v>45689</v>
      </c>
      <c r="B94">
        <v>124.8</v>
      </c>
      <c r="C94" s="202">
        <v>137.4</v>
      </c>
      <c r="D94" s="216">
        <v>134.9</v>
      </c>
      <c r="E94" s="21">
        <v>155.6</v>
      </c>
      <c r="F94">
        <v>104.6</v>
      </c>
      <c r="G94">
        <v>118.8</v>
      </c>
      <c r="H94">
        <v>123.5</v>
      </c>
      <c r="I94">
        <v>162.4</v>
      </c>
      <c r="J94">
        <v>113.8</v>
      </c>
      <c r="K94" s="38">
        <v>142.03</v>
      </c>
      <c r="L94">
        <v>101.2</v>
      </c>
      <c r="M94">
        <v>110.9</v>
      </c>
      <c r="N94">
        <v>130.19999999999999</v>
      </c>
      <c r="O94">
        <v>87.5</v>
      </c>
      <c r="P94">
        <v>116.7</v>
      </c>
      <c r="Q94">
        <v>107.2</v>
      </c>
      <c r="R94">
        <v>146.30000000000001</v>
      </c>
      <c r="S94">
        <v>118</v>
      </c>
      <c r="T94">
        <v>91.2</v>
      </c>
      <c r="U94">
        <v>129.19999999999999</v>
      </c>
      <c r="V94">
        <v>128.19999999999999</v>
      </c>
      <c r="W94">
        <v>116.3</v>
      </c>
      <c r="X94">
        <v>128.69999999999999</v>
      </c>
      <c r="Y94">
        <v>139.6</v>
      </c>
      <c r="Z94">
        <v>128.19999999999999</v>
      </c>
      <c r="AA94">
        <v>115</v>
      </c>
      <c r="AB94">
        <v>94.6</v>
      </c>
      <c r="AC94">
        <v>120.3</v>
      </c>
      <c r="AD94">
        <v>118.6</v>
      </c>
      <c r="AE94">
        <v>126.7</v>
      </c>
      <c r="AF94">
        <v>116.5</v>
      </c>
      <c r="AG94">
        <v>116.7</v>
      </c>
      <c r="AH94">
        <v>106.8</v>
      </c>
      <c r="AI94">
        <v>87.2</v>
      </c>
      <c r="AJ94">
        <v>135.4</v>
      </c>
      <c r="AK94">
        <v>94</v>
      </c>
      <c r="AL94">
        <v>80.7</v>
      </c>
      <c r="AM94">
        <v>118.3</v>
      </c>
      <c r="AN94">
        <v>109.6</v>
      </c>
    </row>
    <row r="95" spans="1:40">
      <c r="A95" s="1">
        <f t="shared" si="1"/>
        <v>45717</v>
      </c>
      <c r="B95">
        <v>124.5</v>
      </c>
      <c r="C95" s="202">
        <v>137.6</v>
      </c>
      <c r="D95" s="216">
        <v>135.19999999999999</v>
      </c>
      <c r="E95" s="21">
        <v>145.69999999999999</v>
      </c>
      <c r="F95">
        <v>101.29</v>
      </c>
      <c r="G95">
        <v>118.5</v>
      </c>
      <c r="H95">
        <v>123.5</v>
      </c>
      <c r="I95">
        <v>155.5</v>
      </c>
      <c r="J95">
        <v>114.6</v>
      </c>
      <c r="K95" s="38">
        <v>133.53</v>
      </c>
      <c r="L95">
        <v>101.2</v>
      </c>
      <c r="M95">
        <v>111</v>
      </c>
      <c r="N95">
        <v>130.1</v>
      </c>
      <c r="O95">
        <v>88.3</v>
      </c>
      <c r="P95">
        <v>116.3</v>
      </c>
      <c r="Q95">
        <v>106.9</v>
      </c>
      <c r="R95">
        <v>143.9</v>
      </c>
      <c r="S95">
        <v>113.5</v>
      </c>
      <c r="T95">
        <v>92.3</v>
      </c>
      <c r="U95">
        <v>128.9</v>
      </c>
      <c r="V95">
        <v>130.9</v>
      </c>
      <c r="W95">
        <v>113.9</v>
      </c>
      <c r="X95">
        <v>130.30000000000001</v>
      </c>
      <c r="Y95">
        <v>138.9</v>
      </c>
      <c r="Z95">
        <v>128.9</v>
      </c>
      <c r="AA95">
        <v>115</v>
      </c>
      <c r="AB95">
        <v>95</v>
      </c>
      <c r="AC95">
        <v>121.1</v>
      </c>
      <c r="AD95">
        <v>118.7</v>
      </c>
      <c r="AE95">
        <v>127.8</v>
      </c>
      <c r="AF95">
        <v>116.6</v>
      </c>
      <c r="AG95">
        <v>117.1</v>
      </c>
      <c r="AH95">
        <v>108.5</v>
      </c>
      <c r="AI95">
        <v>85.7</v>
      </c>
      <c r="AJ95">
        <v>136.1</v>
      </c>
      <c r="AK95">
        <v>94</v>
      </c>
      <c r="AL95">
        <v>82.2</v>
      </c>
      <c r="AM95">
        <v>118.4</v>
      </c>
      <c r="AN95">
        <v>110.9</v>
      </c>
    </row>
    <row r="96" spans="1:40">
      <c r="A96" s="1">
        <f t="shared" si="1"/>
        <v>45748</v>
      </c>
      <c r="B96">
        <v>126.2</v>
      </c>
      <c r="C96" s="202">
        <v>138</v>
      </c>
      <c r="D96" s="217">
        <v>135.4</v>
      </c>
      <c r="E96" s="21">
        <v>141</v>
      </c>
      <c r="F96">
        <v>97.24</v>
      </c>
      <c r="G96">
        <v>119.4</v>
      </c>
      <c r="H96">
        <v>125.5</v>
      </c>
      <c r="I96">
        <v>135.1</v>
      </c>
      <c r="J96">
        <v>93</v>
      </c>
      <c r="K96" s="38">
        <v>124.17</v>
      </c>
      <c r="L96">
        <v>100.9</v>
      </c>
      <c r="M96">
        <v>110.9</v>
      </c>
      <c r="N96">
        <v>131.5</v>
      </c>
      <c r="O96">
        <v>89.1</v>
      </c>
      <c r="P96">
        <v>116.9</v>
      </c>
      <c r="Q96">
        <v>107.4</v>
      </c>
      <c r="R96">
        <v>145.80000000000001</v>
      </c>
      <c r="S96">
        <v>114.6</v>
      </c>
      <c r="T96">
        <v>92.3</v>
      </c>
      <c r="U96">
        <v>124.6</v>
      </c>
      <c r="V96">
        <v>130.5</v>
      </c>
      <c r="W96">
        <v>114</v>
      </c>
      <c r="X96">
        <v>128.5</v>
      </c>
      <c r="Y96">
        <v>139.30000000000001</v>
      </c>
      <c r="Z96">
        <v>129.1</v>
      </c>
      <c r="AA96">
        <v>116.2</v>
      </c>
      <c r="AB96">
        <v>93.8</v>
      </c>
      <c r="AC96">
        <v>120.7</v>
      </c>
      <c r="AD96">
        <v>118.5</v>
      </c>
      <c r="AE96">
        <v>129.1</v>
      </c>
      <c r="AF96">
        <v>116.9</v>
      </c>
      <c r="AG96">
        <v>117</v>
      </c>
      <c r="AH96">
        <v>106.3</v>
      </c>
      <c r="AI96">
        <v>84.7</v>
      </c>
      <c r="AJ96">
        <v>135.1</v>
      </c>
      <c r="AK96">
        <v>95.1</v>
      </c>
      <c r="AL96">
        <v>82.2</v>
      </c>
      <c r="AM96">
        <v>118.1</v>
      </c>
      <c r="AN96">
        <v>111</v>
      </c>
    </row>
    <row r="97" spans="1:40">
      <c r="A97" s="1">
        <f t="shared" si="1"/>
        <v>45778</v>
      </c>
      <c r="B97">
        <v>126.4</v>
      </c>
      <c r="C97" s="202">
        <v>138.4</v>
      </c>
      <c r="D97" s="217">
        <v>135.6</v>
      </c>
      <c r="E97" s="21">
        <v>140</v>
      </c>
      <c r="F97">
        <v>95.45</v>
      </c>
      <c r="G97">
        <v>118.1</v>
      </c>
      <c r="H97">
        <v>125.5</v>
      </c>
      <c r="I97">
        <v>113.3</v>
      </c>
      <c r="J97">
        <v>84.1</v>
      </c>
      <c r="K97" s="38">
        <v>120.39</v>
      </c>
      <c r="L97">
        <v>101.6</v>
      </c>
      <c r="M97">
        <v>113.3</v>
      </c>
      <c r="N97">
        <v>131.69999999999999</v>
      </c>
      <c r="O97">
        <v>89.6</v>
      </c>
      <c r="P97">
        <v>116.2</v>
      </c>
      <c r="Q97">
        <v>108.2</v>
      </c>
      <c r="R97">
        <v>145.6</v>
      </c>
      <c r="S97">
        <v>111.1</v>
      </c>
      <c r="T97">
        <v>93.2</v>
      </c>
      <c r="U97">
        <v>116.6</v>
      </c>
      <c r="V97">
        <v>129.80000000000001</v>
      </c>
      <c r="W97">
        <v>114.7</v>
      </c>
      <c r="X97">
        <v>130.6</v>
      </c>
      <c r="Y97">
        <v>140</v>
      </c>
      <c r="Z97">
        <v>130.30000000000001</v>
      </c>
      <c r="AA97">
        <v>115.9</v>
      </c>
      <c r="AB97">
        <v>93.2</v>
      </c>
      <c r="AC97">
        <v>121</v>
      </c>
      <c r="AD97">
        <v>119</v>
      </c>
      <c r="AE97">
        <v>128.6</v>
      </c>
      <c r="AF97">
        <v>119.7</v>
      </c>
      <c r="AG97">
        <v>121.8</v>
      </c>
      <c r="AH97">
        <v>107.4</v>
      </c>
      <c r="AI97">
        <v>84.3</v>
      </c>
      <c r="AJ97">
        <v>135.9</v>
      </c>
      <c r="AK97">
        <v>94.4</v>
      </c>
      <c r="AL97">
        <v>83.1</v>
      </c>
      <c r="AM97">
        <v>118.7</v>
      </c>
      <c r="AN97">
        <v>109.9</v>
      </c>
    </row>
    <row r="98" spans="1:40">
      <c r="A98" s="1">
        <f t="shared" si="1"/>
        <v>45809</v>
      </c>
      <c r="B98">
        <v>126</v>
      </c>
      <c r="C98">
        <v>138.69999999999999</v>
      </c>
      <c r="D98" s="217">
        <v>135.80000000000001</v>
      </c>
      <c r="E98" s="21">
        <v>143.9</v>
      </c>
      <c r="F98">
        <v>98.01</v>
      </c>
      <c r="G98">
        <v>119.2</v>
      </c>
      <c r="H98">
        <v>125.5</v>
      </c>
      <c r="I98">
        <v>96.2</v>
      </c>
      <c r="J98">
        <v>86.2</v>
      </c>
      <c r="K98">
        <v>127.85</v>
      </c>
      <c r="L98">
        <v>103.6</v>
      </c>
      <c r="M98">
        <v>113.4</v>
      </c>
      <c r="N98">
        <v>130.69999999999999</v>
      </c>
      <c r="O98">
        <v>89.4</v>
      </c>
      <c r="P98">
        <v>115.2</v>
      </c>
      <c r="Q98">
        <v>107.7</v>
      </c>
      <c r="R98">
        <v>145.4</v>
      </c>
      <c r="S98">
        <v>110.9</v>
      </c>
      <c r="T98">
        <v>93.4</v>
      </c>
      <c r="U98">
        <v>115.4</v>
      </c>
      <c r="V98">
        <v>130.30000000000001</v>
      </c>
      <c r="W98">
        <v>114.5</v>
      </c>
      <c r="X98">
        <v>129.80000000000001</v>
      </c>
      <c r="Y98">
        <v>140.19999999999999</v>
      </c>
      <c r="Z98">
        <v>129.69999999999999</v>
      </c>
      <c r="AA98">
        <v>116.4</v>
      </c>
      <c r="AB98">
        <v>93</v>
      </c>
      <c r="AC98">
        <v>120.7</v>
      </c>
      <c r="AD98">
        <v>119.1</v>
      </c>
      <c r="AE98">
        <v>126</v>
      </c>
      <c r="AF98">
        <v>119.2</v>
      </c>
      <c r="AG98">
        <v>122.3</v>
      </c>
      <c r="AH98">
        <v>108.9</v>
      </c>
      <c r="AI98">
        <v>83.5</v>
      </c>
      <c r="AJ98">
        <v>136.30000000000001</v>
      </c>
      <c r="AK98">
        <v>94.7</v>
      </c>
      <c r="AL98">
        <v>82.5</v>
      </c>
      <c r="AM98">
        <v>118.3</v>
      </c>
      <c r="AN98">
        <v>108.9</v>
      </c>
    </row>
    <row r="99" spans="1:40">
      <c r="A99" s="1">
        <f t="shared" si="1"/>
        <v>45839</v>
      </c>
      <c r="B99">
        <v>125.5</v>
      </c>
      <c r="C99">
        <v>139</v>
      </c>
      <c r="D99" s="217">
        <v>136</v>
      </c>
      <c r="E99" s="21">
        <v>147.30000000000001</v>
      </c>
      <c r="F99">
        <v>100.68</v>
      </c>
      <c r="G99">
        <v>121.2</v>
      </c>
      <c r="H99">
        <v>125.3</v>
      </c>
      <c r="I99">
        <v>99.2</v>
      </c>
      <c r="J99">
        <v>86.6</v>
      </c>
      <c r="K99" s="38">
        <v>132.49710318172353</v>
      </c>
      <c r="L99">
        <v>101</v>
      </c>
      <c r="M99">
        <v>112.9</v>
      </c>
      <c r="N99">
        <v>131.30000000000001</v>
      </c>
      <c r="O99">
        <v>88.6</v>
      </c>
      <c r="P99">
        <v>115.2</v>
      </c>
      <c r="Q99">
        <v>107</v>
      </c>
      <c r="R99">
        <v>144</v>
      </c>
      <c r="S99">
        <v>108.8</v>
      </c>
      <c r="T99">
        <v>92.7</v>
      </c>
      <c r="U99">
        <v>118.8</v>
      </c>
      <c r="V99">
        <v>132.19999999999999</v>
      </c>
      <c r="W99">
        <v>113.9</v>
      </c>
      <c r="X99">
        <v>129.30000000000001</v>
      </c>
      <c r="Y99">
        <v>138.9</v>
      </c>
      <c r="Z99">
        <v>129.9</v>
      </c>
      <c r="AA99">
        <v>116.5</v>
      </c>
      <c r="AB99">
        <v>90.4</v>
      </c>
      <c r="AC99">
        <v>121</v>
      </c>
      <c r="AD99">
        <v>119.7</v>
      </c>
      <c r="AE99">
        <v>125.5</v>
      </c>
      <c r="AF99">
        <v>121.5</v>
      </c>
      <c r="AG99">
        <v>124.8</v>
      </c>
      <c r="AH99">
        <v>107.6</v>
      </c>
      <c r="AI99">
        <v>82.4</v>
      </c>
      <c r="AJ99">
        <v>137.80000000000001</v>
      </c>
      <c r="AK99">
        <v>94.6</v>
      </c>
      <c r="AL99">
        <v>82.1</v>
      </c>
      <c r="AM99">
        <v>118.1</v>
      </c>
      <c r="AN99">
        <v>108.3</v>
      </c>
    </row>
    <row r="100" spans="1:40">
      <c r="A100" s="1">
        <f t="shared" si="1"/>
        <v>45870</v>
      </c>
      <c r="B100">
        <v>128.4</v>
      </c>
      <c r="C100">
        <v>139.30000000000001</v>
      </c>
      <c r="D100" s="217">
        <v>136.30000000000001</v>
      </c>
      <c r="E100" s="21">
        <v>143.30000000000001</v>
      </c>
      <c r="F100">
        <v>98.92</v>
      </c>
      <c r="G100">
        <v>121</v>
      </c>
      <c r="H100">
        <v>125.3</v>
      </c>
      <c r="I100">
        <v>106.4</v>
      </c>
      <c r="J100">
        <v>80.7</v>
      </c>
      <c r="K100" s="38">
        <v>128.22471866649806</v>
      </c>
      <c r="L100">
        <v>101.8</v>
      </c>
      <c r="M100">
        <v>112.9</v>
      </c>
      <c r="N100">
        <v>132.69999999999999</v>
      </c>
      <c r="O100">
        <v>87.8</v>
      </c>
      <c r="P100">
        <v>116.8</v>
      </c>
      <c r="Q100">
        <v>107.3</v>
      </c>
      <c r="R100">
        <v>143</v>
      </c>
      <c r="S100">
        <v>109.6</v>
      </c>
      <c r="T100">
        <v>91.4</v>
      </c>
      <c r="U100">
        <v>114</v>
      </c>
      <c r="V100">
        <v>133.6</v>
      </c>
      <c r="W100">
        <v>114.9</v>
      </c>
      <c r="X100">
        <v>129.4</v>
      </c>
      <c r="Y100">
        <v>140.30000000000001</v>
      </c>
      <c r="Z100">
        <v>129.30000000000001</v>
      </c>
      <c r="AA100">
        <v>116.9</v>
      </c>
      <c r="AB100">
        <v>88.7</v>
      </c>
      <c r="AC100">
        <v>121.3</v>
      </c>
      <c r="AD100">
        <v>119.9</v>
      </c>
      <c r="AE100">
        <v>125.7</v>
      </c>
      <c r="AF100">
        <v>120.4</v>
      </c>
      <c r="AG100">
        <v>124.9</v>
      </c>
      <c r="AH100">
        <v>106.3</v>
      </c>
      <c r="AI100">
        <v>82.4</v>
      </c>
      <c r="AJ100">
        <v>137.9</v>
      </c>
      <c r="AK100">
        <v>92.1</v>
      </c>
      <c r="AL100">
        <v>79</v>
      </c>
      <c r="AM100">
        <v>118.8</v>
      </c>
      <c r="AN100">
        <v>108.2</v>
      </c>
    </row>
    <row r="101" spans="1:40">
      <c r="A101" s="1">
        <f t="shared" si="1"/>
        <v>45901</v>
      </c>
      <c r="B101">
        <v>126.8</v>
      </c>
      <c r="C101">
        <v>139.69999999999999</v>
      </c>
      <c r="D101" s="217">
        <v>136.5</v>
      </c>
      <c r="E101" s="21">
        <v>145.1</v>
      </c>
      <c r="F101">
        <v>99.17</v>
      </c>
      <c r="G101">
        <v>118.1</v>
      </c>
      <c r="H101">
        <v>125.3</v>
      </c>
      <c r="I101">
        <v>107.4</v>
      </c>
      <c r="J101">
        <v>78.7</v>
      </c>
      <c r="K101" s="38">
        <v>129.37702154404852</v>
      </c>
      <c r="L101">
        <v>101.9</v>
      </c>
      <c r="M101">
        <v>112.9</v>
      </c>
      <c r="N101">
        <v>131.30000000000001</v>
      </c>
      <c r="O101">
        <v>87.7</v>
      </c>
      <c r="P101">
        <v>115.8</v>
      </c>
      <c r="Q101">
        <v>106.2</v>
      </c>
      <c r="R101">
        <v>143.6</v>
      </c>
      <c r="S101">
        <v>106.9</v>
      </c>
      <c r="T101">
        <v>90.7</v>
      </c>
      <c r="U101">
        <v>109.8</v>
      </c>
      <c r="V101">
        <v>130.69999999999999</v>
      </c>
      <c r="W101">
        <v>114.1</v>
      </c>
      <c r="X101">
        <v>129.1</v>
      </c>
      <c r="Y101">
        <v>140.4</v>
      </c>
      <c r="Z101">
        <v>127</v>
      </c>
      <c r="AA101">
        <v>116.9</v>
      </c>
      <c r="AB101">
        <v>88</v>
      </c>
      <c r="AC101">
        <v>121.4</v>
      </c>
      <c r="AD101">
        <v>118.3</v>
      </c>
      <c r="AE101">
        <v>124.1</v>
      </c>
      <c r="AF101">
        <v>122.2</v>
      </c>
      <c r="AG101">
        <v>128.19999999999999</v>
      </c>
      <c r="AH101">
        <v>107.6</v>
      </c>
      <c r="AI101">
        <v>82.4</v>
      </c>
      <c r="AJ101">
        <v>134.69999999999999</v>
      </c>
      <c r="AK101">
        <v>92.1</v>
      </c>
      <c r="AL101">
        <v>80.099999999999994</v>
      </c>
      <c r="AM101">
        <v>118.5</v>
      </c>
      <c r="AN101">
        <v>107.1</v>
      </c>
    </row>
    <row r="102" spans="1:40">
      <c r="A102" s="1">
        <f>EDATE(A101,1)</f>
        <v>45931</v>
      </c>
      <c r="B102">
        <v>126.7</v>
      </c>
      <c r="C102" s="225">
        <v>140.4</v>
      </c>
      <c r="D102" s="217">
        <v>136.80000000000001</v>
      </c>
      <c r="E102" s="21">
        <v>143.4</v>
      </c>
      <c r="F102">
        <v>98.62</v>
      </c>
      <c r="G102">
        <v>119.5</v>
      </c>
      <c r="H102">
        <v>125.4</v>
      </c>
      <c r="I102">
        <v>109.5</v>
      </c>
      <c r="J102">
        <v>77.599999999999994</v>
      </c>
      <c r="K102" s="38">
        <v>128.47290697858585</v>
      </c>
      <c r="L102">
        <v>100.9</v>
      </c>
      <c r="M102">
        <v>113.8</v>
      </c>
      <c r="N102">
        <v>131.69999999999999</v>
      </c>
      <c r="O102">
        <v>86.4</v>
      </c>
      <c r="P102">
        <v>116</v>
      </c>
      <c r="Q102">
        <v>105.8</v>
      </c>
      <c r="R102">
        <v>143.30000000000001</v>
      </c>
      <c r="S102">
        <v>107</v>
      </c>
      <c r="T102">
        <v>90.4</v>
      </c>
      <c r="U102">
        <v>106.7</v>
      </c>
      <c r="V102">
        <v>132.30000000000001</v>
      </c>
      <c r="W102">
        <v>114.7</v>
      </c>
      <c r="X102">
        <v>127</v>
      </c>
      <c r="Y102">
        <v>139</v>
      </c>
      <c r="Z102">
        <v>126.5</v>
      </c>
      <c r="AA102">
        <v>116.5</v>
      </c>
      <c r="AB102">
        <v>88.3</v>
      </c>
      <c r="AC102">
        <v>121.8</v>
      </c>
      <c r="AD102">
        <v>117.7</v>
      </c>
      <c r="AE102">
        <v>123.9</v>
      </c>
      <c r="AF102">
        <v>121.3</v>
      </c>
      <c r="AG102">
        <v>123.8</v>
      </c>
      <c r="AH102">
        <v>106.5</v>
      </c>
      <c r="AI102">
        <v>82.9</v>
      </c>
      <c r="AJ102">
        <v>134.80000000000001</v>
      </c>
      <c r="AK102">
        <v>91.3</v>
      </c>
      <c r="AL102">
        <v>78.5</v>
      </c>
      <c r="AM102">
        <v>118.2</v>
      </c>
      <c r="AN102">
        <v>107</v>
      </c>
    </row>
    <row r="103" spans="1:40">
      <c r="A103" s="1">
        <f t="shared" si="1"/>
        <v>45962</v>
      </c>
      <c r="B103">
        <v>126.2</v>
      </c>
      <c r="C103" s="225">
        <v>141.1</v>
      </c>
      <c r="D103" s="217">
        <v>137.1</v>
      </c>
      <c r="E103" s="21">
        <v>149.6</v>
      </c>
      <c r="F103">
        <v>102.87</v>
      </c>
      <c r="G103">
        <v>118.2</v>
      </c>
      <c r="H103">
        <v>125.4</v>
      </c>
      <c r="I103">
        <v>123.6</v>
      </c>
      <c r="J103">
        <v>75.7</v>
      </c>
      <c r="K103" s="38">
        <v>139.23364308124926</v>
      </c>
      <c r="L103">
        <v>100.7</v>
      </c>
      <c r="M103">
        <v>113.8</v>
      </c>
      <c r="N103">
        <v>131.6</v>
      </c>
      <c r="O103">
        <v>85.7</v>
      </c>
      <c r="P103">
        <v>115.9</v>
      </c>
      <c r="Q103">
        <v>105.1</v>
      </c>
      <c r="R103">
        <v>143.9</v>
      </c>
      <c r="S103">
        <v>110</v>
      </c>
      <c r="T103">
        <v>89.8</v>
      </c>
      <c r="U103">
        <v>107</v>
      </c>
      <c r="V103">
        <v>127.8</v>
      </c>
      <c r="W103">
        <v>114.2</v>
      </c>
      <c r="X103">
        <v>128.19999999999999</v>
      </c>
      <c r="Y103">
        <v>139.5</v>
      </c>
      <c r="Z103">
        <v>127.9</v>
      </c>
      <c r="AA103">
        <v>116.7</v>
      </c>
      <c r="AB103">
        <v>86.1</v>
      </c>
      <c r="AC103">
        <v>122.7</v>
      </c>
      <c r="AD103">
        <v>117.5</v>
      </c>
      <c r="AE103">
        <v>125.5</v>
      </c>
      <c r="AF103">
        <v>123.2</v>
      </c>
      <c r="AG103">
        <v>126.9</v>
      </c>
      <c r="AH103">
        <v>106.1</v>
      </c>
      <c r="AI103">
        <v>82.6</v>
      </c>
      <c r="AJ103">
        <v>130.1</v>
      </c>
      <c r="AK103">
        <v>90.3</v>
      </c>
      <c r="AL103">
        <v>79.599999999999994</v>
      </c>
      <c r="AM103">
        <v>117.6</v>
      </c>
      <c r="AN103">
        <v>107.1</v>
      </c>
    </row>
    <row r="104" spans="1:40">
      <c r="A104" s="1">
        <f t="shared" si="1"/>
        <v>45992</v>
      </c>
      <c r="B104">
        <v>125.5</v>
      </c>
      <c r="C104" s="230">
        <v>141.80000000000001</v>
      </c>
      <c r="D104" s="217">
        <v>137.4</v>
      </c>
      <c r="E104" s="21">
        <v>136.69999999999999</v>
      </c>
      <c r="F104">
        <v>98.39</v>
      </c>
      <c r="G104">
        <v>119.7</v>
      </c>
      <c r="H104">
        <v>125.4</v>
      </c>
      <c r="I104">
        <v>146.19999999999999</v>
      </c>
      <c r="J104">
        <v>74.5</v>
      </c>
      <c r="K104" s="38">
        <v>125.53</v>
      </c>
      <c r="L104">
        <v>99.8</v>
      </c>
      <c r="M104">
        <v>113.8</v>
      </c>
      <c r="N104">
        <v>131.19999999999999</v>
      </c>
      <c r="O104">
        <v>85.6</v>
      </c>
      <c r="P104">
        <v>116.6</v>
      </c>
      <c r="Q104">
        <v>104.8</v>
      </c>
      <c r="R104">
        <v>143.80000000000001</v>
      </c>
      <c r="S104">
        <v>109.5</v>
      </c>
      <c r="T104">
        <v>89.6</v>
      </c>
      <c r="U104">
        <v>101.7</v>
      </c>
      <c r="V104">
        <v>127.2</v>
      </c>
      <c r="W104">
        <v>112.1</v>
      </c>
      <c r="X104">
        <v>127.5</v>
      </c>
      <c r="Y104">
        <v>138.1</v>
      </c>
      <c r="Z104">
        <v>127.1</v>
      </c>
      <c r="AA104">
        <v>117</v>
      </c>
      <c r="AB104">
        <v>84.7</v>
      </c>
      <c r="AC104">
        <v>122.7</v>
      </c>
      <c r="AD104">
        <v>117.8</v>
      </c>
      <c r="AE104">
        <v>126.3</v>
      </c>
      <c r="AF104">
        <v>123.8</v>
      </c>
      <c r="AG104">
        <v>127.6</v>
      </c>
      <c r="AH104">
        <v>103.3</v>
      </c>
      <c r="AI104">
        <v>82.8</v>
      </c>
      <c r="AJ104">
        <v>132.4</v>
      </c>
      <c r="AK104">
        <v>91.2</v>
      </c>
      <c r="AL104">
        <v>81.099999999999994</v>
      </c>
      <c r="AM104">
        <v>117.6</v>
      </c>
      <c r="AN104">
        <v>107.9</v>
      </c>
    </row>
    <row r="105" spans="1:40">
      <c r="A105" s="1">
        <f t="shared" si="1"/>
        <v>46023</v>
      </c>
      <c r="B105">
        <v>127.6</v>
      </c>
      <c r="C105" s="230">
        <v>142.19999999999999</v>
      </c>
      <c r="D105" s="230">
        <v>137.6</v>
      </c>
      <c r="E105" s="21">
        <v>159</v>
      </c>
      <c r="F105">
        <v>100.91</v>
      </c>
      <c r="G105">
        <v>118</v>
      </c>
      <c r="H105">
        <v>125.7</v>
      </c>
      <c r="I105">
        <v>155.80000000000001</v>
      </c>
      <c r="J105">
        <v>71.400000000000006</v>
      </c>
      <c r="K105" s="38">
        <v>133.73804474216251</v>
      </c>
      <c r="L105">
        <v>100.1</v>
      </c>
      <c r="M105">
        <v>114.3</v>
      </c>
      <c r="N105">
        <v>133.4</v>
      </c>
      <c r="O105">
        <v>85.4</v>
      </c>
      <c r="P105">
        <v>116.5</v>
      </c>
      <c r="Q105">
        <v>104.2</v>
      </c>
      <c r="R105">
        <v>150.1</v>
      </c>
      <c r="S105">
        <v>112.4</v>
      </c>
      <c r="T105">
        <v>90.2</v>
      </c>
      <c r="U105">
        <v>96</v>
      </c>
      <c r="V105">
        <v>126.8</v>
      </c>
      <c r="W105">
        <v>115.1</v>
      </c>
      <c r="X105">
        <v>127.5</v>
      </c>
      <c r="Y105">
        <v>139.6</v>
      </c>
      <c r="Z105">
        <v>130.4</v>
      </c>
      <c r="AA105">
        <v>118.1</v>
      </c>
      <c r="AB105">
        <v>83.8</v>
      </c>
      <c r="AC105">
        <v>124</v>
      </c>
      <c r="AD105">
        <v>118.8</v>
      </c>
      <c r="AE105">
        <v>134.4</v>
      </c>
      <c r="AF105">
        <v>128.80000000000001</v>
      </c>
      <c r="AG105">
        <v>135</v>
      </c>
      <c r="AH105">
        <v>104.9</v>
      </c>
      <c r="AI105">
        <v>82.1</v>
      </c>
      <c r="AJ105">
        <v>130.9</v>
      </c>
      <c r="AK105">
        <v>93</v>
      </c>
      <c r="AL105">
        <v>81.900000000000006</v>
      </c>
      <c r="AM105">
        <v>118.3</v>
      </c>
      <c r="AN105">
        <v>110.2</v>
      </c>
    </row>
    <row r="106" spans="1:40">
      <c r="A106" s="1">
        <f t="shared" si="1"/>
        <v>46054</v>
      </c>
      <c r="B106">
        <v>125.9</v>
      </c>
      <c r="C106" s="230">
        <v>142.6</v>
      </c>
      <c r="D106" s="230">
        <v>137.9</v>
      </c>
      <c r="E106" s="21">
        <v>162.4</v>
      </c>
      <c r="F106">
        <v>103.42</v>
      </c>
      <c r="G106">
        <v>119.2</v>
      </c>
      <c r="H106">
        <v>125.7</v>
      </c>
      <c r="I106">
        <v>147.1</v>
      </c>
      <c r="J106">
        <v>80.7</v>
      </c>
      <c r="K106" s="38">
        <v>139.37546497387086</v>
      </c>
      <c r="L106">
        <v>101.1</v>
      </c>
      <c r="M106">
        <v>114.4</v>
      </c>
      <c r="N106">
        <v>133.4</v>
      </c>
      <c r="O106">
        <v>85.9</v>
      </c>
      <c r="P106">
        <v>118.3</v>
      </c>
      <c r="Q106">
        <v>103.4</v>
      </c>
      <c r="R106">
        <v>148.9</v>
      </c>
      <c r="S106">
        <v>112</v>
      </c>
      <c r="T106">
        <v>91.3</v>
      </c>
      <c r="U106">
        <v>97.3</v>
      </c>
      <c r="V106">
        <v>128.4</v>
      </c>
      <c r="W106">
        <v>114.3</v>
      </c>
      <c r="X106">
        <v>128.9</v>
      </c>
      <c r="Y106">
        <v>141.69999999999999</v>
      </c>
      <c r="Z106">
        <v>130.9</v>
      </c>
      <c r="AA106">
        <v>118.1</v>
      </c>
      <c r="AB106">
        <v>84.3</v>
      </c>
      <c r="AC106">
        <v>124.7</v>
      </c>
      <c r="AD106">
        <v>119.2</v>
      </c>
      <c r="AE106">
        <v>137.9</v>
      </c>
      <c r="AF106">
        <v>128.69999999999999</v>
      </c>
      <c r="AG106">
        <v>136.80000000000001</v>
      </c>
      <c r="AH106">
        <v>106.6</v>
      </c>
      <c r="AI106">
        <v>82.1</v>
      </c>
      <c r="AJ106">
        <v>130.30000000000001</v>
      </c>
      <c r="AK106">
        <v>94.8</v>
      </c>
      <c r="AL106">
        <v>83.7</v>
      </c>
      <c r="AM106">
        <v>119.3</v>
      </c>
      <c r="AN106">
        <v>111.9</v>
      </c>
    </row>
    <row r="107" spans="1:40">
      <c r="A107" s="1">
        <f t="shared" si="1"/>
        <v>46082</v>
      </c>
      <c r="B107">
        <v>126.5</v>
      </c>
      <c r="C107" s="230">
        <v>143</v>
      </c>
      <c r="D107" s="230">
        <v>138.19999999999999</v>
      </c>
      <c r="E107" s="21">
        <v>224.3</v>
      </c>
      <c r="F107">
        <v>126.08</v>
      </c>
      <c r="G107">
        <v>119.2</v>
      </c>
      <c r="H107">
        <v>125.7</v>
      </c>
      <c r="I107">
        <v>140.30000000000001</v>
      </c>
      <c r="J107">
        <v>93.9</v>
      </c>
      <c r="K107" s="38">
        <v>197.64653510476802</v>
      </c>
      <c r="L107">
        <v>102</v>
      </c>
      <c r="M107">
        <v>114.4</v>
      </c>
      <c r="N107">
        <v>133.69999999999999</v>
      </c>
      <c r="O107">
        <v>87.6</v>
      </c>
      <c r="P107">
        <v>118.5</v>
      </c>
      <c r="Q107">
        <v>104.6</v>
      </c>
      <c r="R107">
        <v>148.9</v>
      </c>
      <c r="S107">
        <v>112</v>
      </c>
      <c r="T107" s="80">
        <v>91.3</v>
      </c>
      <c r="U107">
        <v>109</v>
      </c>
      <c r="V107">
        <v>122.7</v>
      </c>
      <c r="W107">
        <v>115.4</v>
      </c>
      <c r="X107">
        <v>131.30000000000001</v>
      </c>
      <c r="Y107">
        <v>140.4</v>
      </c>
      <c r="Z107" s="80">
        <v>130.9</v>
      </c>
      <c r="AA107">
        <v>118.4</v>
      </c>
      <c r="AB107">
        <v>90.2</v>
      </c>
      <c r="AC107">
        <v>127</v>
      </c>
      <c r="AD107">
        <v>117.8</v>
      </c>
      <c r="AE107" s="80">
        <v>137.9</v>
      </c>
      <c r="AF107">
        <v>127</v>
      </c>
      <c r="AG107">
        <v>133.5</v>
      </c>
      <c r="AH107">
        <v>107.1</v>
      </c>
      <c r="AI107">
        <v>82.9</v>
      </c>
      <c r="AJ107">
        <v>126.5</v>
      </c>
      <c r="AK107">
        <v>95.9</v>
      </c>
      <c r="AL107">
        <v>84.8</v>
      </c>
      <c r="AM107">
        <v>118.4</v>
      </c>
      <c r="AN107">
        <v>113.1</v>
      </c>
    </row>
    <row r="108" spans="1:40">
      <c r="A108" s="1">
        <f t="shared" si="1"/>
        <v>46113</v>
      </c>
      <c r="B108">
        <v>128.1</v>
      </c>
      <c r="C108" s="229">
        <v>143</v>
      </c>
      <c r="D108" s="229">
        <v>138.19999999999999</v>
      </c>
      <c r="E108" s="21">
        <v>230.3</v>
      </c>
      <c r="F108">
        <v>138.74</v>
      </c>
      <c r="G108">
        <v>121.4</v>
      </c>
      <c r="H108">
        <v>129.19999999999999</v>
      </c>
      <c r="I108">
        <v>124.4</v>
      </c>
      <c r="J108">
        <v>122.2</v>
      </c>
      <c r="K108" s="38">
        <v>223.06810935718863</v>
      </c>
      <c r="L108">
        <v>108</v>
      </c>
      <c r="M108">
        <v>114.6</v>
      </c>
      <c r="N108">
        <v>137.5</v>
      </c>
      <c r="O108">
        <v>91.3</v>
      </c>
      <c r="P108">
        <v>121</v>
      </c>
      <c r="Q108">
        <v>111.3</v>
      </c>
      <c r="R108">
        <v>149.1</v>
      </c>
      <c r="S108">
        <v>114.8</v>
      </c>
      <c r="T108" s="80">
        <v>91.3</v>
      </c>
      <c r="U108">
        <v>149.80000000000001</v>
      </c>
      <c r="V108">
        <v>123.7</v>
      </c>
      <c r="W108">
        <v>117.1</v>
      </c>
      <c r="X108">
        <v>130.5</v>
      </c>
      <c r="Y108">
        <v>140</v>
      </c>
      <c r="Z108" s="80">
        <v>130.9</v>
      </c>
      <c r="AA108">
        <v>118.7</v>
      </c>
      <c r="AB108">
        <v>119.6</v>
      </c>
      <c r="AC108">
        <v>124</v>
      </c>
      <c r="AD108">
        <v>118.2</v>
      </c>
      <c r="AE108" s="80">
        <v>137.9</v>
      </c>
      <c r="AF108">
        <v>133.4</v>
      </c>
      <c r="AG108">
        <v>144.80000000000001</v>
      </c>
      <c r="AH108">
        <v>107.2</v>
      </c>
      <c r="AI108">
        <v>83.5</v>
      </c>
      <c r="AJ108">
        <v>127.4</v>
      </c>
      <c r="AK108">
        <v>99.9</v>
      </c>
      <c r="AL108">
        <v>87.3</v>
      </c>
      <c r="AM108">
        <v>119</v>
      </c>
      <c r="AN108">
        <v>115.1</v>
      </c>
    </row>
    <row r="109" spans="1:40">
      <c r="A109" s="1">
        <f t="shared" si="1"/>
        <v>46143</v>
      </c>
      <c r="B109">
        <v>127.8</v>
      </c>
      <c r="C109" s="229">
        <v>143</v>
      </c>
      <c r="D109" s="229">
        <v>138.19999999999999</v>
      </c>
      <c r="E109" s="21">
        <v>212.8</v>
      </c>
      <c r="F109">
        <v>131.69999999999999</v>
      </c>
      <c r="G109">
        <v>120.7</v>
      </c>
      <c r="H109">
        <v>129.19999999999999</v>
      </c>
      <c r="I109">
        <v>109.7</v>
      </c>
      <c r="J109">
        <v>109.8</v>
      </c>
      <c r="K109" s="29">
        <v>205.64174430131035</v>
      </c>
      <c r="L109">
        <v>119.5</v>
      </c>
      <c r="M109">
        <v>114.6</v>
      </c>
      <c r="N109">
        <v>136.5</v>
      </c>
      <c r="O109">
        <v>95.4</v>
      </c>
      <c r="P109">
        <v>120</v>
      </c>
      <c r="Q109">
        <v>120.4</v>
      </c>
      <c r="R109">
        <v>151.4</v>
      </c>
      <c r="S109">
        <v>118.6</v>
      </c>
      <c r="T109" s="80">
        <v>91.3</v>
      </c>
      <c r="U109">
        <v>149.4</v>
      </c>
      <c r="V109">
        <v>123</v>
      </c>
      <c r="W109">
        <v>117.5</v>
      </c>
      <c r="X109">
        <v>131.69999999999999</v>
      </c>
      <c r="Y109">
        <v>141.69999999999999</v>
      </c>
      <c r="Z109" s="80">
        <v>130.9</v>
      </c>
      <c r="AA109">
        <v>119.2</v>
      </c>
      <c r="AB109">
        <v>121.9</v>
      </c>
      <c r="AC109">
        <v>125.8</v>
      </c>
      <c r="AD109">
        <v>118.4</v>
      </c>
      <c r="AE109" s="80">
        <v>137.9</v>
      </c>
      <c r="AF109">
        <v>133.6</v>
      </c>
      <c r="AG109">
        <v>144.80000000000001</v>
      </c>
      <c r="AH109">
        <v>106.8</v>
      </c>
      <c r="AI109">
        <v>84</v>
      </c>
      <c r="AJ109">
        <v>129.4</v>
      </c>
      <c r="AK109">
        <v>101.3</v>
      </c>
      <c r="AL109">
        <v>89.3</v>
      </c>
      <c r="AM109">
        <v>119.2</v>
      </c>
      <c r="AN109">
        <v>116.9</v>
      </c>
    </row>
    <row r="110" spans="1:40">
      <c r="A110" s="1"/>
      <c r="F110">
        <v>120.37</v>
      </c>
    </row>
    <row r="111" spans="1:40">
      <c r="A111" s="1"/>
    </row>
    <row r="112" spans="1:40">
      <c r="A112" s="1"/>
    </row>
    <row r="113" spans="1:1">
      <c r="A113" s="1"/>
    </row>
    <row r="114" spans="1:1">
      <c r="A114" s="1"/>
    </row>
    <row r="115" spans="1:1">
      <c r="A115" s="1"/>
    </row>
    <row r="116" spans="1:1">
      <c r="A116" s="1"/>
    </row>
    <row r="117" spans="1:1">
      <c r="A117" s="1"/>
    </row>
    <row r="118" spans="1:1">
      <c r="A118" s="1"/>
    </row>
    <row r="119" spans="1:1">
      <c r="A119" s="1"/>
    </row>
    <row r="120" spans="1:1">
      <c r="A120" s="1"/>
    </row>
    <row r="121" spans="1:1">
      <c r="A121" s="1"/>
    </row>
    <row r="122" spans="1:1">
      <c r="A122" s="1"/>
    </row>
    <row r="123" spans="1:1">
      <c r="A123" s="1"/>
    </row>
    <row r="124" spans="1:1">
      <c r="A124" s="1"/>
    </row>
    <row r="125" spans="1:1">
      <c r="A125" s="1"/>
    </row>
    <row r="126" spans="1:1">
      <c r="A126" s="1"/>
    </row>
    <row r="127" spans="1:1">
      <c r="A127" s="1"/>
    </row>
    <row r="128" spans="1:1">
      <c r="A128" s="1"/>
    </row>
    <row r="129" spans="1:1">
      <c r="A129" s="1"/>
    </row>
    <row r="130" spans="1:1">
      <c r="A130" s="1"/>
    </row>
    <row r="131" spans="1:1">
      <c r="A131" s="1"/>
    </row>
    <row r="132" spans="1:1">
      <c r="A132" s="1"/>
    </row>
    <row r="133" spans="1:1">
      <c r="A133" s="1"/>
    </row>
    <row r="134" spans="1:1">
      <c r="A134" s="1"/>
    </row>
    <row r="135" spans="1:1">
      <c r="A135" s="1"/>
    </row>
    <row r="136" spans="1:1">
      <c r="A136" s="1"/>
    </row>
    <row r="137" spans="1:1">
      <c r="A137" s="1"/>
    </row>
    <row r="138" spans="1:1">
      <c r="A138" s="1"/>
    </row>
    <row r="139" spans="1:1">
      <c r="A139" s="1"/>
    </row>
    <row r="140" spans="1:1">
      <c r="A140" s="1"/>
    </row>
    <row r="141" spans="1:1">
      <c r="A141" s="1"/>
    </row>
    <row r="142" spans="1:1">
      <c r="A142" s="1"/>
    </row>
    <row r="143" spans="1:1">
      <c r="A143" s="1"/>
    </row>
    <row r="144" spans="1:1">
      <c r="A144" s="1"/>
    </row>
    <row r="145" spans="1:1">
      <c r="A145" s="1"/>
    </row>
    <row r="146" spans="1:1">
      <c r="A146" s="1"/>
    </row>
    <row r="147" spans="1:1">
      <c r="A147" s="1"/>
    </row>
    <row r="148" spans="1:1">
      <c r="A148" s="1"/>
    </row>
    <row r="149" spans="1:1">
      <c r="A149" s="1"/>
    </row>
    <row r="150" spans="1:1">
      <c r="A150" s="1"/>
    </row>
    <row r="151" spans="1:1">
      <c r="A151" s="1"/>
    </row>
    <row r="152" spans="1:1">
      <c r="A152" s="1"/>
    </row>
    <row r="153" spans="1:1">
      <c r="A153" s="1"/>
    </row>
    <row r="154" spans="1:1">
      <c r="A154" s="1"/>
    </row>
    <row r="155" spans="1:1">
      <c r="A155" s="1"/>
    </row>
    <row r="156" spans="1:1">
      <c r="A156" s="1"/>
    </row>
    <row r="157" spans="1:1">
      <c r="A157" s="1"/>
    </row>
    <row r="158" spans="1:1">
      <c r="A158" s="1"/>
    </row>
    <row r="159" spans="1:1">
      <c r="A159" s="1"/>
    </row>
    <row r="160" spans="1:1">
      <c r="A160" s="1"/>
    </row>
    <row r="161" spans="1:1">
      <c r="A161" s="1"/>
    </row>
    <row r="1048576" spans="3:3">
      <c r="C1048576" t="s">
        <v>353</v>
      </c>
    </row>
  </sheetData>
  <sheetProtection algorithmName="SHA-512" hashValue="R8omwjExKEcRklZTmPZu4X/tcoaVfHgNbwgvPhf5SzT++VqfxqBycN2Eo7njPBVtwepgG0zr8vYcAo8hlvayEw==" saltValue="TEW+p6IPwQ6DvKobinREnA==" spinCount="100000" sheet="1" formatRows="0" insertColumns="0" insertRows="0" insertHyperlinks="0" deleteColumns="0" deleteRows="0" sort="0" autoFilter="0"/>
  <sortState xmlns:xlrd2="http://schemas.microsoft.com/office/spreadsheetml/2017/richdata2" ref="C67:D121">
    <sortCondition descending="1" ref="D67:D121"/>
  </sortState>
  <hyperlinks>
    <hyperlink ref="U5" r:id="rId1" xr:uid="{B30912BB-2A93-49AB-BC1A-AA3654E96075}"/>
    <hyperlink ref="X5" r:id="rId2" xr:uid="{D970FFDB-CF31-425F-BD0D-28A8DDF2413A}"/>
    <hyperlink ref="AE5" r:id="rId3" xr:uid="{91A33DB7-C839-401A-AD2F-7038BC807DC7}"/>
    <hyperlink ref="AF5" r:id="rId4" xr:uid="{1BDB47C2-11CF-4231-8829-FACD3791FBE7}"/>
    <hyperlink ref="G5" r:id="rId5" xr:uid="{F6FA4C8A-8E02-4CD8-BD7C-D5E47D658A94}"/>
    <hyperlink ref="F5" r:id="rId6" xr:uid="{41251DC3-04EE-4448-A4CB-BE3FBDC58FB8}"/>
    <hyperlink ref="H5" r:id="rId7" xr:uid="{5662B3D7-600F-4DFA-9E65-F58D859E7B06}"/>
    <hyperlink ref="Y5" r:id="rId8" xr:uid="{1098FE54-50EE-4ACA-A4A2-199C34437A38}"/>
    <hyperlink ref="AB5" r:id="rId9" xr:uid="{124DAAD8-DE25-4B0D-A77A-351C3326746B}"/>
    <hyperlink ref="AA5" r:id="rId10" xr:uid="{C9A492BC-1CE0-4F38-BE16-B6DB644A0755}"/>
    <hyperlink ref="AC5" r:id="rId11" xr:uid="{B30DE352-A05A-4C79-A669-3ECCF40321EB}"/>
    <hyperlink ref="AD5" r:id="rId12" xr:uid="{1409A982-E23E-4C8A-AB30-1636B3D8AD13}"/>
    <hyperlink ref="D5" r:id="rId13" display="Indice mensuel du coût horaire du travail révisé - Salaires et charges - Tous salariés - activités spécialisées, scientifiques, techniques (NAF rév. 2 section M)" xr:uid="{15796E36-BE77-4CB3-9238-9CE032C816DA}"/>
    <hyperlink ref="B5" r:id="rId14" display="Poste matériel des index travaux publics" xr:uid="{5A0253A1-0110-470C-B764-A947753FCFBE}"/>
    <hyperlink ref="C5" r:id="rId15" xr:uid="{EBCA7F52-9620-4419-81BB-FB25D55BC6A1}"/>
    <hyperlink ref="E5" r:id="rId16" xr:uid="{7005EA99-2348-471B-BC11-34DC9F1C2E99}"/>
    <hyperlink ref="I5" r:id="rId17" xr:uid="{599AED04-D11F-4BCC-B0BF-B04CDB803CBA}"/>
    <hyperlink ref="J5" r:id="rId18" xr:uid="{F5501127-57F9-41B7-9D20-147FB414FAF6}"/>
    <hyperlink ref="L5" r:id="rId19" xr:uid="{198DBFFC-E3E7-4FFE-B6CF-8078D514D9C1}"/>
    <hyperlink ref="M5" r:id="rId20" location="Tableau" xr:uid="{17A8BA60-3695-489B-A768-EF5F73BDD2BF}"/>
    <hyperlink ref="N5" r:id="rId21" xr:uid="{9ABD7167-DA4C-4C4F-88FF-B3629CE3E96F}"/>
    <hyperlink ref="O5" r:id="rId22" display=" Barres crénelées ou nervurées pour béton armé" xr:uid="{1548A8C8-F8B2-4126-9336-65E19191121C}"/>
    <hyperlink ref="P5" r:id="rId23" display="Sables et granulats  " xr:uid="{B4F2BE59-110B-4390-9FCF-D22AE1199A08}"/>
    <hyperlink ref="Q5" r:id="rId24" xr:uid="{45D6DFC8-2C84-4233-AC69-829E2844BDA7}"/>
    <hyperlink ref="R5" r:id="rId25" xr:uid="{9F04C4DC-312D-4CE6-930D-D50C95F15486}"/>
    <hyperlink ref="S5" r:id="rId26" xr:uid="{1CFAEC14-C249-4F5F-917B-11CF4254D1A1}"/>
    <hyperlink ref="T5" r:id="rId27" xr:uid="{743B5A7C-AB0D-4DC2-8591-57A079B64947}"/>
    <hyperlink ref="V5" r:id="rId28" xr:uid="{F7228362-E966-47B8-A020-C5E4FDB55973}"/>
    <hyperlink ref="W5" r:id="rId29" xr:uid="{894A3621-7CC5-4163-9FE5-36023B8F41AF}"/>
    <hyperlink ref="Z4" r:id="rId30" xr:uid="{C73D11F7-2EF5-4AAF-B6A2-C3DE465E6EEF}"/>
    <hyperlink ref="Z5" r:id="rId31" xr:uid="{A9DFA526-47E7-4CC0-81E4-2F472CED105B}"/>
    <hyperlink ref="AD4" r:id="rId32" xr:uid="{3D488681-17E4-4162-AD52-6C6FB2F98C77}"/>
    <hyperlink ref="AG5" r:id="rId33" xr:uid="{E915B93E-D30A-40CD-823D-CBDDCAE385CA}"/>
    <hyperlink ref="AH5" r:id="rId34" xr:uid="{EC08534F-B342-423A-8CFA-610330598BE8}"/>
    <hyperlink ref="AI5" r:id="rId35" xr:uid="{8F7E52FF-474B-49FF-BFA5-6DE63CA4F27B}"/>
    <hyperlink ref="AJ5" r:id="rId36" xr:uid="{0EA544FB-EB6F-477B-A490-27523B525E49}"/>
    <hyperlink ref="AK5" r:id="rId37" xr:uid="{B9B6718A-1514-438B-93E9-788F89C04502}"/>
    <hyperlink ref="AL5" r:id="rId38" xr:uid="{8A4A1A42-D2D0-456B-A55E-4AB63A807FB9}"/>
    <hyperlink ref="AM5" r:id="rId39" xr:uid="{3BACBF9D-9CE5-474E-9E1B-1BCC52E8AA66}"/>
    <hyperlink ref="AN5" r:id="rId40" xr:uid="{CCD47097-7390-40CA-8DED-824E6B3EF566}"/>
    <hyperlink ref="F4" r:id="rId41" xr:uid="{1FF63141-A018-440A-9BA0-37E5EB24FD99}"/>
  </hyperlinks>
  <pageMargins left="0.7" right="0.7" top="0.75" bottom="0.75" header="0.3" footer="0.3"/>
  <pageSetup paperSize="9" orientation="portrait" r:id="rId4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C44AA-CFB7-4DB3-9678-0A3F667D32F3}">
  <sheetPr codeName="Feuil3">
    <tabColor rgb="FFFFC000"/>
  </sheetPr>
  <dimension ref="A1:H105"/>
  <sheetViews>
    <sheetView topLeftCell="A76" zoomScale="80" zoomScaleNormal="80" workbookViewId="0">
      <selection activeCell="C105" sqref="C105"/>
    </sheetView>
  </sheetViews>
  <sheetFormatPr baseColWidth="10" defaultRowHeight="15"/>
  <sheetData>
    <row r="1" spans="1:8">
      <c r="B1" s="37" t="s">
        <v>54</v>
      </c>
      <c r="C1" s="37"/>
      <c r="D1" s="37" t="s">
        <v>54</v>
      </c>
      <c r="E1" s="37" t="s">
        <v>55</v>
      </c>
      <c r="H1" s="37" t="str">
        <f>HYPERLINK('DEPUIS JANVIER'!A54, "Notice")</f>
        <v>Notice</v>
      </c>
    </row>
    <row r="2" spans="1:8">
      <c r="A2" s="1">
        <v>43009</v>
      </c>
      <c r="B2">
        <v>295.7</v>
      </c>
      <c r="C2">
        <v>100</v>
      </c>
      <c r="D2" t="s">
        <v>153</v>
      </c>
    </row>
    <row r="3" spans="1:8">
      <c r="A3" s="1">
        <f>EDATE(A2,1)</f>
        <v>43040</v>
      </c>
      <c r="B3">
        <v>322.8</v>
      </c>
      <c r="C3" s="29">
        <f>C2*(1+(B3/B2-1))</f>
        <v>109.16469394656747</v>
      </c>
      <c r="D3" t="s">
        <v>154</v>
      </c>
    </row>
    <row r="4" spans="1:8">
      <c r="A4" s="1">
        <f t="shared" ref="A4:A67" si="0">EDATE(A3,1)</f>
        <v>43070</v>
      </c>
      <c r="B4">
        <v>319.8</v>
      </c>
      <c r="C4" s="29">
        <f t="shared" ref="C4:C33" si="1">C3*(1+(B4/B3-1))</f>
        <v>108.1501521812648</v>
      </c>
      <c r="D4" t="s">
        <v>155</v>
      </c>
    </row>
    <row r="5" spans="1:8">
      <c r="A5" s="1">
        <f t="shared" si="0"/>
        <v>43101</v>
      </c>
      <c r="B5">
        <v>324.89999999999998</v>
      </c>
      <c r="C5" s="29">
        <f t="shared" si="1"/>
        <v>109.87487318227933</v>
      </c>
      <c r="D5" t="s">
        <v>156</v>
      </c>
    </row>
    <row r="6" spans="1:8">
      <c r="A6" s="1">
        <f t="shared" si="0"/>
        <v>43132</v>
      </c>
      <c r="B6">
        <v>321</v>
      </c>
      <c r="C6" s="29">
        <f t="shared" si="1"/>
        <v>108.55596888738587</v>
      </c>
    </row>
    <row r="7" spans="1:8">
      <c r="A7" s="1">
        <f t="shared" si="0"/>
        <v>43160</v>
      </c>
      <c r="B7">
        <v>306.2</v>
      </c>
      <c r="C7" s="29">
        <f t="shared" si="1"/>
        <v>103.55089617855936</v>
      </c>
    </row>
    <row r="8" spans="1:8">
      <c r="A8" s="1">
        <f t="shared" si="0"/>
        <v>43191</v>
      </c>
      <c r="B8">
        <v>325</v>
      </c>
      <c r="C8" s="29">
        <f t="shared" si="1"/>
        <v>109.90869124112277</v>
      </c>
    </row>
    <row r="9" spans="1:8">
      <c r="A9" s="1">
        <f t="shared" si="0"/>
        <v>43221</v>
      </c>
      <c r="B9">
        <v>337.8</v>
      </c>
      <c r="C9" s="29">
        <f t="shared" si="1"/>
        <v>114.23740277308083</v>
      </c>
    </row>
    <row r="10" spans="1:8">
      <c r="A10" s="1">
        <f t="shared" si="0"/>
        <v>43252</v>
      </c>
      <c r="B10">
        <v>383</v>
      </c>
      <c r="C10" s="29">
        <f t="shared" si="1"/>
        <v>129.52316537030777</v>
      </c>
    </row>
    <row r="11" spans="1:8">
      <c r="A11" s="1">
        <f t="shared" si="0"/>
        <v>43282</v>
      </c>
      <c r="B11">
        <v>391.9</v>
      </c>
      <c r="C11" s="29">
        <f t="shared" si="1"/>
        <v>132.53297260737236</v>
      </c>
    </row>
    <row r="12" spans="1:8">
      <c r="A12" s="1">
        <f t="shared" si="0"/>
        <v>43313</v>
      </c>
      <c r="B12">
        <v>387.4</v>
      </c>
      <c r="C12" s="29">
        <f t="shared" si="1"/>
        <v>131.01115995941836</v>
      </c>
    </row>
    <row r="13" spans="1:8">
      <c r="A13" s="1">
        <f t="shared" si="0"/>
        <v>43344</v>
      </c>
      <c r="B13">
        <v>392.7</v>
      </c>
      <c r="C13" s="29">
        <f t="shared" si="1"/>
        <v>132.80351707811977</v>
      </c>
    </row>
    <row r="14" spans="1:8">
      <c r="A14" s="1">
        <f t="shared" si="0"/>
        <v>43374</v>
      </c>
      <c r="B14">
        <v>430.2</v>
      </c>
      <c r="C14" s="29">
        <f t="shared" si="1"/>
        <v>145.48528914440317</v>
      </c>
    </row>
    <row r="15" spans="1:8">
      <c r="A15" s="1">
        <f t="shared" si="0"/>
        <v>43405</v>
      </c>
      <c r="B15">
        <v>381</v>
      </c>
      <c r="C15" s="29">
        <f t="shared" si="1"/>
        <v>128.84680419343934</v>
      </c>
    </row>
    <row r="16" spans="1:8">
      <c r="A16" s="1">
        <f t="shared" si="0"/>
        <v>43435</v>
      </c>
      <c r="B16">
        <v>325.39999999999998</v>
      </c>
      <c r="C16" s="29">
        <f t="shared" si="1"/>
        <v>110.04396347649647</v>
      </c>
    </row>
    <row r="17" spans="1:5">
      <c r="A17" s="1">
        <f t="shared" si="0"/>
        <v>43466</v>
      </c>
      <c r="B17">
        <v>330.7</v>
      </c>
      <c r="C17" s="29">
        <f t="shared" si="1"/>
        <v>111.83632059519786</v>
      </c>
    </row>
    <row r="18" spans="1:5">
      <c r="A18" s="1">
        <f t="shared" si="0"/>
        <v>43497</v>
      </c>
      <c r="B18">
        <v>372.1</v>
      </c>
      <c r="C18" s="29">
        <f t="shared" si="1"/>
        <v>125.83699695637475</v>
      </c>
    </row>
    <row r="19" spans="1:5">
      <c r="A19" s="1">
        <f t="shared" si="0"/>
        <v>43525</v>
      </c>
      <c r="B19">
        <v>380.8</v>
      </c>
      <c r="C19" s="29">
        <f t="shared" si="1"/>
        <v>128.77916807575249</v>
      </c>
    </row>
    <row r="20" spans="1:5">
      <c r="A20" s="1">
        <f t="shared" si="0"/>
        <v>43556</v>
      </c>
      <c r="B20">
        <v>392.7</v>
      </c>
      <c r="C20" s="29">
        <f t="shared" si="1"/>
        <v>132.80351707811977</v>
      </c>
    </row>
    <row r="21" spans="1:5">
      <c r="A21" s="1">
        <f t="shared" si="0"/>
        <v>43586</v>
      </c>
      <c r="B21">
        <v>382.1</v>
      </c>
      <c r="C21" s="29">
        <f t="shared" si="1"/>
        <v>129.21880284071699</v>
      </c>
    </row>
    <row r="22" spans="1:5">
      <c r="A22" s="1">
        <f t="shared" si="0"/>
        <v>43617</v>
      </c>
      <c r="B22">
        <v>347.9</v>
      </c>
      <c r="C22" s="29">
        <f t="shared" si="1"/>
        <v>117.65302671626651</v>
      </c>
    </row>
    <row r="23" spans="1:5">
      <c r="A23" s="1">
        <f t="shared" si="0"/>
        <v>43647</v>
      </c>
      <c r="B23">
        <v>375.3</v>
      </c>
      <c r="C23" s="29">
        <f t="shared" si="1"/>
        <v>126.91917483936426</v>
      </c>
    </row>
    <row r="24" spans="1:5">
      <c r="A24" s="1">
        <f t="shared" si="0"/>
        <v>43678</v>
      </c>
      <c r="B24">
        <v>304.8</v>
      </c>
      <c r="C24" s="29">
        <f t="shared" si="1"/>
        <v>103.07744335475147</v>
      </c>
    </row>
    <row r="25" spans="1:5">
      <c r="A25" s="1">
        <f t="shared" si="0"/>
        <v>43709</v>
      </c>
      <c r="B25">
        <v>341.8</v>
      </c>
      <c r="C25" s="29">
        <f t="shared" si="1"/>
        <v>115.59012512681774</v>
      </c>
    </row>
    <row r="26" spans="1:5">
      <c r="A26" s="1">
        <f t="shared" si="0"/>
        <v>43739</v>
      </c>
      <c r="B26">
        <v>291.7</v>
      </c>
      <c r="C26" s="29">
        <f t="shared" si="1"/>
        <v>98.647277646263106</v>
      </c>
    </row>
    <row r="27" spans="1:5">
      <c r="A27" s="1">
        <f t="shared" si="0"/>
        <v>43770</v>
      </c>
      <c r="B27">
        <v>265.8</v>
      </c>
      <c r="C27" s="29">
        <f t="shared" si="1"/>
        <v>89.888400405816711</v>
      </c>
    </row>
    <row r="28" spans="1:5">
      <c r="A28" s="1">
        <f t="shared" si="0"/>
        <v>43800</v>
      </c>
      <c r="B28">
        <v>256.10000000000002</v>
      </c>
      <c r="C28" s="29">
        <f t="shared" si="1"/>
        <v>86.608048698004751</v>
      </c>
    </row>
    <row r="29" spans="1:5">
      <c r="A29" s="1">
        <f t="shared" si="0"/>
        <v>43831</v>
      </c>
      <c r="B29">
        <v>285.10000000000002</v>
      </c>
      <c r="C29" s="29">
        <f>C28*(1+(B29/B28-1))</f>
        <v>96.41528576259725</v>
      </c>
      <c r="D29" s="36">
        <v>631.9</v>
      </c>
      <c r="E29" s="30">
        <v>0.61619999999999997</v>
      </c>
    </row>
    <row r="30" spans="1:5">
      <c r="A30" s="1">
        <f t="shared" si="0"/>
        <v>43862</v>
      </c>
      <c r="B30">
        <v>277.60000000000002</v>
      </c>
      <c r="C30" s="29">
        <f t="shared" si="1"/>
        <v>93.878931349340561</v>
      </c>
      <c r="D30" s="36">
        <v>559.73</v>
      </c>
      <c r="E30" s="30">
        <v>0.55640000000000001</v>
      </c>
    </row>
    <row r="31" spans="1:5">
      <c r="A31" s="1">
        <f t="shared" si="0"/>
        <v>43891</v>
      </c>
      <c r="B31">
        <v>199.8</v>
      </c>
      <c r="C31" s="29">
        <f t="shared" si="1"/>
        <v>67.568481569157939</v>
      </c>
      <c r="D31" s="36">
        <v>414.19</v>
      </c>
      <c r="E31" s="30">
        <v>0.46560000000000001</v>
      </c>
    </row>
    <row r="32" spans="1:5">
      <c r="A32" s="1">
        <f t="shared" si="0"/>
        <v>43922</v>
      </c>
      <c r="B32">
        <v>150.69999999999999</v>
      </c>
      <c r="C32" s="29">
        <f t="shared" si="1"/>
        <v>50.96381467703754</v>
      </c>
      <c r="D32" s="36">
        <v>359.81</v>
      </c>
      <c r="E32" s="30">
        <v>0.40360000000000001</v>
      </c>
    </row>
    <row r="33" spans="1:5">
      <c r="A33" s="1">
        <f t="shared" si="0"/>
        <v>43952</v>
      </c>
      <c r="B33">
        <v>163.80000000000001</v>
      </c>
      <c r="C33" s="29">
        <f t="shared" si="1"/>
        <v>55.393980385525879</v>
      </c>
      <c r="D33" s="36">
        <v>380.71</v>
      </c>
      <c r="E33" s="30">
        <v>0.3654</v>
      </c>
    </row>
    <row r="34" spans="1:5">
      <c r="A34" s="1">
        <f t="shared" si="0"/>
        <v>43983</v>
      </c>
      <c r="B34">
        <v>221</v>
      </c>
      <c r="C34" s="29">
        <f>C33*(1+(B34/B33-1))</f>
        <v>74.737910043963481</v>
      </c>
      <c r="D34" s="36">
        <v>434.36</v>
      </c>
      <c r="E34" s="30">
        <v>0.40060000000000001</v>
      </c>
    </row>
    <row r="35" spans="1:5">
      <c r="A35" s="1">
        <f t="shared" si="0"/>
        <v>44013</v>
      </c>
      <c r="C35" s="35">
        <f>C34*(1+(D35/D34-1))</f>
        <v>76.962703249756942</v>
      </c>
      <c r="D35" s="36">
        <v>447.29</v>
      </c>
      <c r="E35" s="30">
        <v>0.42380000000000001</v>
      </c>
    </row>
    <row r="36" spans="1:5">
      <c r="A36" s="1">
        <f t="shared" si="0"/>
        <v>44044</v>
      </c>
      <c r="C36" s="35">
        <f t="shared" ref="C36:C46" si="2">C35*(1+(D36/D35-1))</f>
        <v>78.186081416283741</v>
      </c>
      <c r="D36" s="36">
        <v>454.4</v>
      </c>
      <c r="E36" s="30">
        <v>0.41949999999999998</v>
      </c>
    </row>
    <row r="37" spans="1:5">
      <c r="A37" s="1">
        <f t="shared" si="0"/>
        <v>44075</v>
      </c>
      <c r="C37" s="35">
        <f>C36*(1+(D37/D36-1))</f>
        <v>75.797826992740568</v>
      </c>
      <c r="D37" s="36">
        <v>440.52</v>
      </c>
      <c r="E37" s="30">
        <v>0.3947</v>
      </c>
    </row>
    <row r="38" spans="1:5">
      <c r="A38" s="1">
        <f t="shared" si="0"/>
        <v>44105</v>
      </c>
      <c r="C38" s="35">
        <f t="shared" si="2"/>
        <v>77.969280222215701</v>
      </c>
      <c r="D38" s="36">
        <v>453.14</v>
      </c>
      <c r="E38" s="30">
        <v>0.39250000000000002</v>
      </c>
    </row>
    <row r="39" spans="1:5">
      <c r="A39" s="1">
        <f t="shared" si="0"/>
        <v>44136</v>
      </c>
      <c r="C39" s="35">
        <f t="shared" si="2"/>
        <v>80.93739180767102</v>
      </c>
      <c r="D39" s="36">
        <v>470.39</v>
      </c>
      <c r="E39" s="30">
        <v>0.40450000000000003</v>
      </c>
    </row>
    <row r="40" spans="1:5">
      <c r="A40" s="1">
        <f t="shared" si="0"/>
        <v>44166</v>
      </c>
      <c r="C40" s="35">
        <f t="shared" si="2"/>
        <v>84.005300768173541</v>
      </c>
      <c r="D40" s="36">
        <v>488.22</v>
      </c>
      <c r="E40" s="30">
        <v>0.43840000000000001</v>
      </c>
    </row>
    <row r="41" spans="1:5">
      <c r="A41" s="1">
        <f t="shared" si="0"/>
        <v>44197</v>
      </c>
      <c r="C41" s="35">
        <f t="shared" si="2"/>
        <v>87.475840517659549</v>
      </c>
      <c r="D41" s="36">
        <v>508.39</v>
      </c>
      <c r="E41" s="30">
        <v>0.4738</v>
      </c>
    </row>
    <row r="42" spans="1:5">
      <c r="A42" s="1">
        <f t="shared" si="0"/>
        <v>44228</v>
      </c>
      <c r="C42" s="35">
        <f t="shared" si="2"/>
        <v>96.424912028356985</v>
      </c>
      <c r="D42" s="36">
        <v>560.4</v>
      </c>
      <c r="E42" s="30">
        <v>0.51580000000000004</v>
      </c>
    </row>
    <row r="43" spans="1:5">
      <c r="A43" s="1">
        <f t="shared" si="0"/>
        <v>44256</v>
      </c>
      <c r="C43" s="35">
        <f t="shared" si="2"/>
        <v>99.707901538530166</v>
      </c>
      <c r="D43" s="36">
        <v>579.48</v>
      </c>
      <c r="E43" s="30">
        <v>0.54449999999999998</v>
      </c>
    </row>
    <row r="44" spans="1:5">
      <c r="A44" s="1">
        <f t="shared" si="0"/>
        <v>44287</v>
      </c>
      <c r="C44" s="35">
        <f t="shared" si="2"/>
        <v>97.252541983489749</v>
      </c>
      <c r="D44" s="36">
        <v>565.21</v>
      </c>
      <c r="E44" s="30">
        <v>0.53620000000000001</v>
      </c>
    </row>
    <row r="45" spans="1:5">
      <c r="A45" s="1">
        <f t="shared" si="0"/>
        <v>44317</v>
      </c>
      <c r="C45" s="35">
        <f t="shared" si="2"/>
        <v>96.963473724732353</v>
      </c>
      <c r="D45" s="36">
        <v>563.53</v>
      </c>
      <c r="E45" s="30">
        <v>0.54990000000000006</v>
      </c>
    </row>
    <row r="46" spans="1:5">
      <c r="A46" s="1">
        <f t="shared" si="0"/>
        <v>44348</v>
      </c>
      <c r="C46" s="35">
        <f t="shared" si="2"/>
        <v>100.23097743532924</v>
      </c>
      <c r="D46" s="36">
        <v>582.52</v>
      </c>
      <c r="E46" s="30">
        <v>0.57010000000000005</v>
      </c>
    </row>
    <row r="47" spans="1:5">
      <c r="A47" s="1">
        <f t="shared" si="0"/>
        <v>44378</v>
      </c>
      <c r="C47" s="35">
        <f>C46*(1+(D47/D46-1))</f>
        <v>104.68228449131354</v>
      </c>
      <c r="D47" s="36">
        <v>608.39</v>
      </c>
      <c r="E47" s="30">
        <v>0.59050000000000002</v>
      </c>
    </row>
    <row r="48" spans="1:5">
      <c r="A48" s="1">
        <f t="shared" si="0"/>
        <v>44409</v>
      </c>
      <c r="C48" s="31">
        <f>C47*(1+(E48/E47-1))</f>
        <v>103.58316482349619</v>
      </c>
      <c r="D48" s="36">
        <v>592.49</v>
      </c>
      <c r="E48" s="30">
        <v>0.58430000000000004</v>
      </c>
    </row>
    <row r="49" spans="1:5">
      <c r="A49" s="1">
        <f t="shared" si="0"/>
        <v>44440</v>
      </c>
      <c r="C49" s="31">
        <f>C48*(1+(E49/E48-1))</f>
        <v>105.88777057859708</v>
      </c>
      <c r="D49" s="36">
        <v>622.85</v>
      </c>
      <c r="E49" s="30">
        <v>0.59730000000000005</v>
      </c>
    </row>
    <row r="50" spans="1:5">
      <c r="A50" s="1">
        <f t="shared" si="0"/>
        <v>44470</v>
      </c>
      <c r="C50" s="31">
        <f>C49*(1+(E50/E49-1))</f>
        <v>119.53812774342542</v>
      </c>
      <c r="D50" s="36">
        <v>674.78</v>
      </c>
      <c r="E50" s="30">
        <v>0.67430000000000001</v>
      </c>
    </row>
    <row r="51" spans="1:5">
      <c r="A51" s="1">
        <f t="shared" si="0"/>
        <v>44501</v>
      </c>
      <c r="C51" s="31">
        <f>C50*(1+(E51/E50-1))</f>
        <v>121.63000065959393</v>
      </c>
      <c r="D51" s="36">
        <v>676.2</v>
      </c>
      <c r="E51" s="30">
        <v>0.68610000000000004</v>
      </c>
    </row>
    <row r="52" spans="1:5">
      <c r="A52" s="1">
        <f t="shared" si="0"/>
        <v>44531</v>
      </c>
      <c r="C52" s="31">
        <f t="shared" ref="C52:C54" si="3">C51*(1+(E52/E51-1))</f>
        <v>117.58807671987852</v>
      </c>
      <c r="D52" s="36">
        <v>650.6</v>
      </c>
      <c r="E52" s="30">
        <v>0.6633</v>
      </c>
    </row>
    <row r="53" spans="1:5">
      <c r="A53" s="1">
        <f t="shared" si="0"/>
        <v>44562</v>
      </c>
      <c r="C53" s="31">
        <f t="shared" si="3"/>
        <v>133.34803453745306</v>
      </c>
      <c r="D53" s="36">
        <v>701.18</v>
      </c>
      <c r="E53" s="30">
        <v>0.75219999999999998</v>
      </c>
    </row>
    <row r="54" spans="1:5">
      <c r="A54" s="1">
        <f t="shared" si="0"/>
        <v>44593</v>
      </c>
      <c r="C54" s="31">
        <f t="shared" si="3"/>
        <v>144.33923121562654</v>
      </c>
      <c r="D54" s="36">
        <v>752.34</v>
      </c>
      <c r="E54" s="30">
        <v>0.81420000000000003</v>
      </c>
    </row>
    <row r="55" spans="1:5">
      <c r="A55" s="1">
        <f t="shared" si="0"/>
        <v>44621</v>
      </c>
      <c r="C55" s="31">
        <f>C54*(1+(E55/E54-1))</f>
        <v>191.7609265609718</v>
      </c>
      <c r="D55" s="36">
        <v>877.46</v>
      </c>
      <c r="E55" s="30">
        <v>1.0817000000000001</v>
      </c>
    </row>
    <row r="56" spans="1:5">
      <c r="A56" s="1">
        <f t="shared" si="0"/>
        <v>44652</v>
      </c>
      <c r="C56" s="31">
        <f t="shared" ref="C56:C92" si="4">C55*(1+(E56/E55-1))</f>
        <v>166.232985889085</v>
      </c>
      <c r="D56" s="36">
        <v>826.09</v>
      </c>
      <c r="E56" s="30">
        <v>0.93769999999999998</v>
      </c>
    </row>
    <row r="57" spans="1:5">
      <c r="A57" s="1">
        <f t="shared" si="0"/>
        <v>44682</v>
      </c>
      <c r="C57" s="31">
        <f t="shared" si="4"/>
        <v>169.10487921467225</v>
      </c>
      <c r="D57" s="36">
        <v>840.31</v>
      </c>
      <c r="E57" s="30">
        <v>0.95389999999999997</v>
      </c>
    </row>
    <row r="58" spans="1:5">
      <c r="A58" s="1">
        <f t="shared" si="0"/>
        <v>44713</v>
      </c>
      <c r="C58" s="31">
        <f t="shared" si="4"/>
        <v>198.40882777760893</v>
      </c>
      <c r="D58" s="36">
        <v>862.27</v>
      </c>
      <c r="E58" s="30">
        <v>1.1192</v>
      </c>
    </row>
    <row r="59" spans="1:5">
      <c r="A59" s="1">
        <f t="shared" si="0"/>
        <v>44743</v>
      </c>
      <c r="C59" s="31">
        <f t="shared" si="4"/>
        <v>182.79069185265595</v>
      </c>
      <c r="D59" s="36">
        <v>820.73</v>
      </c>
      <c r="E59" s="30">
        <v>1.0310999999999999</v>
      </c>
    </row>
    <row r="60" spans="1:5">
      <c r="A60" s="1">
        <f t="shared" si="0"/>
        <v>44774</v>
      </c>
      <c r="C60" s="31">
        <f t="shared" si="4"/>
        <v>165.98479757699718</v>
      </c>
      <c r="E60" s="30">
        <v>0.93630000000000002</v>
      </c>
    </row>
    <row r="61" spans="1:5">
      <c r="A61" s="1">
        <f t="shared" si="0"/>
        <v>44805</v>
      </c>
      <c r="C61" s="31">
        <f t="shared" si="4"/>
        <v>145.70426693210933</v>
      </c>
      <c r="E61" s="30">
        <v>0.82189999999999996</v>
      </c>
    </row>
    <row r="62" spans="1:5">
      <c r="A62" s="1">
        <f t="shared" si="0"/>
        <v>44835</v>
      </c>
      <c r="C62" s="31">
        <f t="shared" si="4"/>
        <v>168.92760184889522</v>
      </c>
      <c r="E62" s="30">
        <v>0.95289999999999997</v>
      </c>
    </row>
    <row r="63" spans="1:5">
      <c r="A63" s="1">
        <f t="shared" si="0"/>
        <v>44866</v>
      </c>
      <c r="C63" s="31">
        <f t="shared" si="4"/>
        <v>165.36432679677768</v>
      </c>
      <c r="E63" s="30">
        <v>0.93279999999999996</v>
      </c>
    </row>
    <row r="64" spans="1:5">
      <c r="A64" s="1">
        <f t="shared" si="0"/>
        <v>44896</v>
      </c>
      <c r="C64" s="31">
        <f t="shared" si="4"/>
        <v>152.35216814874653</v>
      </c>
      <c r="E64" s="30">
        <v>0.85940000000000005</v>
      </c>
    </row>
    <row r="65" spans="1:5">
      <c r="A65" s="1">
        <f t="shared" si="0"/>
        <v>44927</v>
      </c>
      <c r="C65" s="31">
        <f t="shared" si="4"/>
        <v>174.33456150509349</v>
      </c>
      <c r="E65" s="30">
        <v>0.98340000000000005</v>
      </c>
    </row>
    <row r="66" spans="1:5">
      <c r="A66" s="1">
        <f t="shared" si="0"/>
        <v>44958</v>
      </c>
      <c r="C66" s="31">
        <f t="shared" si="4"/>
        <v>163.99929108029488</v>
      </c>
      <c r="E66" s="30">
        <v>0.92510000000000003</v>
      </c>
    </row>
    <row r="67" spans="1:5">
      <c r="A67" s="1">
        <f t="shared" si="0"/>
        <v>44986</v>
      </c>
      <c r="C67" s="31">
        <f t="shared" si="4"/>
        <v>160.73738754999823</v>
      </c>
      <c r="E67" s="30">
        <v>0.90669999999999995</v>
      </c>
    </row>
    <row r="68" spans="1:5">
      <c r="A68" s="1">
        <f t="shared" ref="A68:A77" si="5">EDATE(A67,1)</f>
        <v>45017</v>
      </c>
      <c r="C68" s="31">
        <f t="shared" si="4"/>
        <v>153.64629291891859</v>
      </c>
      <c r="E68" s="30">
        <v>0.86670000000000003</v>
      </c>
    </row>
    <row r="69" spans="1:5">
      <c r="A69" s="1">
        <f t="shared" si="5"/>
        <v>45047</v>
      </c>
      <c r="C69" s="171">
        <f t="shared" si="4"/>
        <v>137.76224094530016</v>
      </c>
      <c r="E69" s="30">
        <v>0.77710000000000001</v>
      </c>
    </row>
    <row r="70" spans="1:5">
      <c r="A70" s="1">
        <f t="shared" si="5"/>
        <v>45078</v>
      </c>
      <c r="C70" s="171">
        <f t="shared" si="4"/>
        <v>140.22639632960036</v>
      </c>
      <c r="E70" s="30">
        <v>0.79100000000000004</v>
      </c>
    </row>
    <row r="71" spans="1:5">
      <c r="A71" s="1">
        <f t="shared" si="5"/>
        <v>45108</v>
      </c>
      <c r="C71" s="171">
        <f t="shared" si="4"/>
        <v>143.22238381123148</v>
      </c>
      <c r="E71" s="30">
        <v>0.80789999999999995</v>
      </c>
    </row>
    <row r="72" spans="1:5">
      <c r="A72" s="1">
        <f t="shared" si="5"/>
        <v>45139</v>
      </c>
      <c r="C72" s="171">
        <f t="shared" si="4"/>
        <v>161.6060466423055</v>
      </c>
      <c r="E72" s="30">
        <v>0.91159999999999997</v>
      </c>
    </row>
    <row r="73" spans="1:5">
      <c r="A73" s="1">
        <f t="shared" si="5"/>
        <v>45170</v>
      </c>
      <c r="C73" s="171">
        <f t="shared" si="4"/>
        <v>173.39499146647546</v>
      </c>
      <c r="E73" s="30">
        <v>0.97809999999999997</v>
      </c>
    </row>
    <row r="74" spans="1:5">
      <c r="A74" s="1">
        <f t="shared" si="5"/>
        <v>45200</v>
      </c>
      <c r="C74" s="171">
        <f t="shared" si="4"/>
        <v>168.14758143947654</v>
      </c>
      <c r="E74" s="30">
        <v>0.94850000000000001</v>
      </c>
    </row>
    <row r="75" spans="1:5">
      <c r="A75" s="1">
        <f t="shared" si="5"/>
        <v>45231</v>
      </c>
      <c r="C75" s="171">
        <f t="shared" si="4"/>
        <v>159.30144088720465</v>
      </c>
      <c r="E75" s="30">
        <v>0.89859999999999995</v>
      </c>
    </row>
    <row r="76" spans="1:5">
      <c r="A76" s="1">
        <f t="shared" si="5"/>
        <v>45261</v>
      </c>
      <c r="C76" s="171">
        <f t="shared" si="4"/>
        <v>150.73894412017594</v>
      </c>
      <c r="E76" s="30">
        <v>0.85029999999999994</v>
      </c>
    </row>
    <row r="77" spans="1:5">
      <c r="A77" s="1">
        <f t="shared" si="5"/>
        <v>45292</v>
      </c>
      <c r="C77" s="171">
        <f t="shared" si="4"/>
        <v>148.45206610165278</v>
      </c>
      <c r="E77" s="30">
        <v>0.83740000000000003</v>
      </c>
    </row>
    <row r="78" spans="1:5">
      <c r="A78" s="1">
        <f>EDATE(A77,1)</f>
        <v>45323</v>
      </c>
      <c r="C78" s="171">
        <f t="shared" si="4"/>
        <v>159.28371315062697</v>
      </c>
      <c r="E78" s="30">
        <v>0.89849999999999997</v>
      </c>
    </row>
    <row r="79" spans="1:5">
      <c r="A79" s="1">
        <f t="shared" ref="A79:A85" si="6">EDATE(A78,1)</f>
        <v>45352</v>
      </c>
      <c r="C79" s="171">
        <f t="shared" si="4"/>
        <v>155.41906657668858</v>
      </c>
      <c r="E79" s="30">
        <v>0.87670000000000003</v>
      </c>
    </row>
    <row r="80" spans="1:5">
      <c r="A80" s="1">
        <f t="shared" si="6"/>
        <v>45383</v>
      </c>
      <c r="C80" s="171">
        <f t="shared" si="4"/>
        <v>154.33767464544894</v>
      </c>
      <c r="E80" s="30">
        <v>0.87060000000000004</v>
      </c>
    </row>
    <row r="81" spans="1:5">
      <c r="A81" s="1">
        <f t="shared" si="6"/>
        <v>45413</v>
      </c>
      <c r="C81" s="171">
        <f t="shared" si="4"/>
        <v>144.88879104953529</v>
      </c>
      <c r="E81" s="30">
        <v>0.81730000000000003</v>
      </c>
    </row>
    <row r="82" spans="1:5">
      <c r="A82" s="1">
        <f t="shared" si="6"/>
        <v>45444</v>
      </c>
      <c r="C82" s="171">
        <f t="shared" si="4"/>
        <v>142.99192323572146</v>
      </c>
      <c r="E82" s="30">
        <v>0.80659999999999998</v>
      </c>
    </row>
    <row r="83" spans="1:5">
      <c r="A83" s="1">
        <f t="shared" si="6"/>
        <v>45474</v>
      </c>
      <c r="C83" s="171">
        <f t="shared" si="4"/>
        <v>144.23286479616041</v>
      </c>
      <c r="E83" s="30">
        <v>0.81359999999999999</v>
      </c>
    </row>
    <row r="84" spans="1:5">
      <c r="A84" s="1">
        <f t="shared" si="6"/>
        <v>45505</v>
      </c>
      <c r="C84" s="171">
        <f t="shared" si="4"/>
        <v>134.74852572709136</v>
      </c>
      <c r="E84">
        <v>0.7601</v>
      </c>
    </row>
    <row r="85" spans="1:5">
      <c r="A85" s="1">
        <f t="shared" si="6"/>
        <v>45536</v>
      </c>
      <c r="C85" s="171">
        <f t="shared" si="4"/>
        <v>127.24969315472461</v>
      </c>
      <c r="E85" s="30">
        <v>0.71779999999999999</v>
      </c>
    </row>
    <row r="86" spans="1:5">
      <c r="A86" s="1">
        <f>EDATE(A85,1)</f>
        <v>45566</v>
      </c>
      <c r="C86" s="171">
        <f t="shared" si="4"/>
        <v>129.53657117324781</v>
      </c>
      <c r="E86" s="214">
        <v>0.73070000000000002</v>
      </c>
    </row>
    <row r="87" spans="1:5">
      <c r="A87" s="1">
        <f>EDATE(A86,1)</f>
        <v>45597</v>
      </c>
      <c r="C87" s="171">
        <f t="shared" si="4"/>
        <v>132.58574186461206</v>
      </c>
      <c r="E87" s="214">
        <v>0.74790000000000001</v>
      </c>
    </row>
    <row r="88" spans="1:5">
      <c r="A88" s="1">
        <f t="shared" ref="A88:A105" si="7">EDATE(A87,1)</f>
        <v>45627</v>
      </c>
      <c r="C88" s="171">
        <f t="shared" si="4"/>
        <v>135.15626366837844</v>
      </c>
      <c r="E88" s="214">
        <v>0.76239999999999997</v>
      </c>
    </row>
    <row r="89" spans="1:5">
      <c r="A89" s="1">
        <f t="shared" si="7"/>
        <v>45658</v>
      </c>
      <c r="C89" s="171">
        <f t="shared" si="4"/>
        <v>143.16920060149849</v>
      </c>
      <c r="E89" s="215">
        <v>0.80759999999999998</v>
      </c>
    </row>
    <row r="90" spans="1:5">
      <c r="A90" s="1">
        <f>EDATE(A89,1)</f>
        <v>45689</v>
      </c>
      <c r="C90" s="171">
        <f t="shared" si="4"/>
        <v>142.03462546052575</v>
      </c>
      <c r="E90" s="214">
        <v>0.80120000000000002</v>
      </c>
    </row>
    <row r="91" spans="1:5">
      <c r="A91" s="1">
        <f t="shared" si="7"/>
        <v>45717</v>
      </c>
      <c r="C91" s="171">
        <f t="shared" si="4"/>
        <v>133.52531190323012</v>
      </c>
      <c r="E91" s="214">
        <v>0.75319999999999998</v>
      </c>
    </row>
    <row r="92" spans="1:5">
      <c r="A92" s="1">
        <f t="shared" si="7"/>
        <v>45748</v>
      </c>
      <c r="C92" s="171">
        <f t="shared" si="4"/>
        <v>124.16506699020496</v>
      </c>
      <c r="E92" s="214">
        <v>0.70040000000000002</v>
      </c>
    </row>
    <row r="93" spans="1:5">
      <c r="A93" s="1">
        <f t="shared" si="7"/>
        <v>45778</v>
      </c>
      <c r="C93" s="171">
        <f t="shared" ref="C93:C105" si="8">C92*(1+(E93/E92-1))</f>
        <v>120.38905909915503</v>
      </c>
      <c r="E93" s="214">
        <v>0.67910000000000004</v>
      </c>
    </row>
    <row r="94" spans="1:5">
      <c r="A94" s="1">
        <f>EDATE(A93,1)</f>
        <v>45809</v>
      </c>
      <c r="C94" s="171">
        <f t="shared" si="8"/>
        <v>127.85243619836636</v>
      </c>
      <c r="E94" s="214">
        <v>0.72119999999999995</v>
      </c>
    </row>
    <row r="95" spans="1:5">
      <c r="A95" s="1">
        <f t="shared" si="7"/>
        <v>45839</v>
      </c>
      <c r="C95" s="171">
        <f t="shared" si="8"/>
        <v>132.49710318172353</v>
      </c>
      <c r="E95" s="214">
        <v>0.74739999999999995</v>
      </c>
    </row>
    <row r="96" spans="1:5">
      <c r="A96" s="1">
        <f t="shared" si="7"/>
        <v>45870</v>
      </c>
      <c r="C96" s="171">
        <f t="shared" si="8"/>
        <v>128.22471866649806</v>
      </c>
      <c r="E96" s="214">
        <v>0.72330000000000005</v>
      </c>
    </row>
    <row r="97" spans="1:5">
      <c r="A97" s="1">
        <f t="shared" si="7"/>
        <v>45901</v>
      </c>
      <c r="C97" s="171">
        <f t="shared" si="8"/>
        <v>129.37702154404852</v>
      </c>
      <c r="E97" s="214">
        <v>0.7298</v>
      </c>
    </row>
    <row r="98" spans="1:5">
      <c r="A98" s="1">
        <f>EDATE(A97,1)</f>
        <v>45931</v>
      </c>
      <c r="C98" s="171">
        <f t="shared" si="8"/>
        <v>128.47290697858585</v>
      </c>
      <c r="E98" s="214">
        <v>0.72470000000000001</v>
      </c>
    </row>
    <row r="99" spans="1:5">
      <c r="A99" s="1">
        <f t="shared" si="7"/>
        <v>45962</v>
      </c>
      <c r="C99" s="171">
        <f t="shared" si="8"/>
        <v>139.23364308124926</v>
      </c>
      <c r="E99" s="214">
        <v>0.78539999999999999</v>
      </c>
    </row>
    <row r="100" spans="1:5">
      <c r="A100" s="1">
        <f t="shared" si="7"/>
        <v>45992</v>
      </c>
      <c r="C100" s="171">
        <f t="shared" si="8"/>
        <v>125.5301027066878</v>
      </c>
      <c r="E100" s="222">
        <v>0.70809999999999995</v>
      </c>
    </row>
    <row r="101" spans="1:5">
      <c r="A101" s="1">
        <f t="shared" si="7"/>
        <v>46023</v>
      </c>
      <c r="C101" s="171">
        <f t="shared" si="8"/>
        <v>133.73804474216251</v>
      </c>
      <c r="E101" s="223">
        <v>0.75439999999999996</v>
      </c>
    </row>
    <row r="102" spans="1:5">
      <c r="A102" s="1">
        <f>EDATE(A101,1)</f>
        <v>46054</v>
      </c>
      <c r="C102" s="171">
        <f t="shared" si="8"/>
        <v>139.37546497387086</v>
      </c>
      <c r="E102" s="224">
        <v>0.78620000000000001</v>
      </c>
    </row>
    <row r="103" spans="1:5">
      <c r="A103" s="1">
        <f t="shared" si="7"/>
        <v>46082</v>
      </c>
      <c r="C103" s="171">
        <f t="shared" si="8"/>
        <v>197.64653510476802</v>
      </c>
      <c r="E103">
        <v>1.1149</v>
      </c>
    </row>
    <row r="104" spans="1:5">
      <c r="A104" s="1">
        <f t="shared" si="7"/>
        <v>46113</v>
      </c>
      <c r="C104" s="171">
        <f t="shared" si="8"/>
        <v>223.06810935718863</v>
      </c>
      <c r="E104">
        <v>1.2583</v>
      </c>
    </row>
    <row r="105" spans="1:5">
      <c r="A105" s="1">
        <f t="shared" si="7"/>
        <v>46143</v>
      </c>
      <c r="C105" s="171">
        <f t="shared" si="8"/>
        <v>205.64174430131035</v>
      </c>
      <c r="E105">
        <v>1.1599999999999999</v>
      </c>
    </row>
  </sheetData>
  <sheetProtection insertColumns="0" insertRows="0" insertHyperlinks="0" deleteColumns="0" deleteRows="0" sort="0" autoFilter="0"/>
  <hyperlinks>
    <hyperlink ref="B1" r:id="rId1" xr:uid="{50CCCC8C-BE08-4A0D-99AB-92F80C2A242C}"/>
    <hyperlink ref="D1" r:id="rId2" xr:uid="{7B90BB58-B254-44D1-9E7B-836BDADFEEEB}"/>
    <hyperlink ref="E1" r:id="rId3" display="https://view.officeapps.live.com/op/view.aspx?src=https%3A%2F%2Fwww.ecologie.gouv.fr%2Fsites%2Fdefault%2Ffiles%2FPrix%2520HTT%2520et%2520TTC%2520depuis%2520janvier%25202020.xlsx&amp;wdOrigin=BROWSELINK" xr:uid="{F4D6BDBE-A7D7-4BA0-87CC-D4F4EB9BBD8F}"/>
  </hyperlinks>
  <pageMargins left="0.7" right="0.7" top="0.75" bottom="0.75" header="0.3" footer="0.3"/>
  <pageSetup paperSize="9" orientation="portrait" verticalDpi="0"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86870-36C6-410B-A745-8A88F341DC4E}">
  <sheetPr codeName="Feuil4">
    <tabColor rgb="FFFFC000"/>
  </sheetPr>
  <dimension ref="A1:E91"/>
  <sheetViews>
    <sheetView topLeftCell="A68" workbookViewId="0">
      <selection activeCell="E100" sqref="E100"/>
    </sheetView>
  </sheetViews>
  <sheetFormatPr baseColWidth="10" defaultRowHeight="15"/>
  <sheetData>
    <row r="1" spans="1:5">
      <c r="A1" t="s">
        <v>152</v>
      </c>
      <c r="C1" t="s">
        <v>150</v>
      </c>
      <c r="D1" t="s">
        <v>151</v>
      </c>
      <c r="E1" s="37" t="str">
        <f>HYPERLINK('DEPUIS JANVIER'!A53, "Notice")</f>
        <v>Notice</v>
      </c>
    </row>
    <row r="2" spans="1:5">
      <c r="A2" s="2">
        <v>43009</v>
      </c>
      <c r="B2">
        <v>295.7</v>
      </c>
      <c r="C2">
        <v>100</v>
      </c>
    </row>
    <row r="3" spans="1:5">
      <c r="A3" s="2">
        <f>EDATE(A2,1)</f>
        <v>43040</v>
      </c>
      <c r="B3">
        <v>322.8</v>
      </c>
      <c r="C3" s="29">
        <f>C2*(1+(B3/B2-1))</f>
        <v>109.16469394656747</v>
      </c>
    </row>
    <row r="4" spans="1:5">
      <c r="A4" s="2">
        <f t="shared" ref="A4:A67" si="0">EDATE(A3,1)</f>
        <v>43070</v>
      </c>
      <c r="B4">
        <v>319.8</v>
      </c>
      <c r="C4" s="29">
        <f t="shared" ref="C4:C34" si="1">C3*(1+(B4/B3-1))</f>
        <v>108.1501521812648</v>
      </c>
    </row>
    <row r="5" spans="1:5">
      <c r="A5" s="2">
        <f t="shared" si="0"/>
        <v>43101</v>
      </c>
      <c r="B5">
        <v>324.89999999999998</v>
      </c>
      <c r="C5" s="29">
        <f t="shared" si="1"/>
        <v>109.87487318227933</v>
      </c>
    </row>
    <row r="6" spans="1:5">
      <c r="A6" s="2">
        <f t="shared" si="0"/>
        <v>43132</v>
      </c>
      <c r="B6">
        <v>321</v>
      </c>
      <c r="C6" s="29">
        <f t="shared" si="1"/>
        <v>108.55596888738587</v>
      </c>
    </row>
    <row r="7" spans="1:5">
      <c r="A7" s="2">
        <f t="shared" si="0"/>
        <v>43160</v>
      </c>
      <c r="B7">
        <v>306.2</v>
      </c>
      <c r="C7" s="29">
        <f t="shared" si="1"/>
        <v>103.55089617855936</v>
      </c>
    </row>
    <row r="8" spans="1:5">
      <c r="A8" s="2">
        <f t="shared" si="0"/>
        <v>43191</v>
      </c>
      <c r="B8">
        <v>325</v>
      </c>
      <c r="C8" s="29">
        <f t="shared" si="1"/>
        <v>109.90869124112277</v>
      </c>
    </row>
    <row r="9" spans="1:5">
      <c r="A9" s="2">
        <f t="shared" si="0"/>
        <v>43221</v>
      </c>
      <c r="B9">
        <v>337.8</v>
      </c>
      <c r="C9" s="29">
        <f t="shared" si="1"/>
        <v>114.23740277308083</v>
      </c>
    </row>
    <row r="10" spans="1:5">
      <c r="A10" s="2">
        <f t="shared" si="0"/>
        <v>43252</v>
      </c>
      <c r="B10">
        <v>383</v>
      </c>
      <c r="C10" s="29">
        <f t="shared" si="1"/>
        <v>129.52316537030777</v>
      </c>
    </row>
    <row r="11" spans="1:5">
      <c r="A11" s="2">
        <f t="shared" si="0"/>
        <v>43282</v>
      </c>
      <c r="B11">
        <v>391.9</v>
      </c>
      <c r="C11" s="29">
        <f t="shared" si="1"/>
        <v>132.53297260737236</v>
      </c>
    </row>
    <row r="12" spans="1:5">
      <c r="A12" s="2">
        <f t="shared" si="0"/>
        <v>43313</v>
      </c>
      <c r="B12">
        <v>387.4</v>
      </c>
      <c r="C12" s="29">
        <f t="shared" si="1"/>
        <v>131.01115995941836</v>
      </c>
    </row>
    <row r="13" spans="1:5">
      <c r="A13" s="2">
        <f t="shared" si="0"/>
        <v>43344</v>
      </c>
      <c r="B13">
        <v>392.7</v>
      </c>
      <c r="C13" s="29">
        <f t="shared" si="1"/>
        <v>132.80351707811977</v>
      </c>
    </row>
    <row r="14" spans="1:5">
      <c r="A14" s="2">
        <f t="shared" si="0"/>
        <v>43374</v>
      </c>
      <c r="B14">
        <v>430.2</v>
      </c>
      <c r="C14" s="29">
        <f t="shared" si="1"/>
        <v>145.48528914440317</v>
      </c>
    </row>
    <row r="15" spans="1:5">
      <c r="A15" s="2">
        <f t="shared" si="0"/>
        <v>43405</v>
      </c>
      <c r="B15">
        <v>381</v>
      </c>
      <c r="C15" s="29">
        <f t="shared" si="1"/>
        <v>128.84680419343934</v>
      </c>
    </row>
    <row r="16" spans="1:5">
      <c r="A16" s="2">
        <f t="shared" si="0"/>
        <v>43435</v>
      </c>
      <c r="B16">
        <v>325.39999999999998</v>
      </c>
      <c r="C16" s="29">
        <f t="shared" si="1"/>
        <v>110.04396347649647</v>
      </c>
    </row>
    <row r="17" spans="1:4">
      <c r="A17" s="2">
        <f t="shared" si="0"/>
        <v>43466</v>
      </c>
      <c r="B17">
        <v>330.7</v>
      </c>
      <c r="C17" s="29">
        <f t="shared" si="1"/>
        <v>111.83632059519786</v>
      </c>
    </row>
    <row r="18" spans="1:4">
      <c r="A18" s="2">
        <f t="shared" si="0"/>
        <v>43497</v>
      </c>
      <c r="B18">
        <v>372.1</v>
      </c>
      <c r="C18" s="29">
        <f t="shared" si="1"/>
        <v>125.83699695637475</v>
      </c>
    </row>
    <row r="19" spans="1:4">
      <c r="A19" s="2">
        <f t="shared" si="0"/>
        <v>43525</v>
      </c>
      <c r="B19">
        <v>380.8</v>
      </c>
      <c r="C19" s="29">
        <f t="shared" si="1"/>
        <v>128.77916807575249</v>
      </c>
    </row>
    <row r="20" spans="1:4">
      <c r="A20" s="2">
        <f t="shared" si="0"/>
        <v>43556</v>
      </c>
      <c r="B20">
        <v>392.7</v>
      </c>
      <c r="C20" s="29">
        <f t="shared" si="1"/>
        <v>132.80351707811977</v>
      </c>
    </row>
    <row r="21" spans="1:4">
      <c r="A21" s="2">
        <f t="shared" si="0"/>
        <v>43586</v>
      </c>
      <c r="B21">
        <v>382.1</v>
      </c>
      <c r="C21" s="29">
        <f t="shared" si="1"/>
        <v>129.21880284071699</v>
      </c>
    </row>
    <row r="22" spans="1:4">
      <c r="A22" s="2">
        <f t="shared" si="0"/>
        <v>43617</v>
      </c>
      <c r="B22">
        <v>347.9</v>
      </c>
      <c r="C22" s="29">
        <f t="shared" si="1"/>
        <v>117.65302671626651</v>
      </c>
    </row>
    <row r="23" spans="1:4">
      <c r="A23" s="2">
        <f t="shared" si="0"/>
        <v>43647</v>
      </c>
      <c r="B23">
        <v>375.3</v>
      </c>
      <c r="C23" s="29">
        <f t="shared" si="1"/>
        <v>126.91917483936426</v>
      </c>
    </row>
    <row r="24" spans="1:4">
      <c r="A24" s="2">
        <f t="shared" si="0"/>
        <v>43678</v>
      </c>
      <c r="B24">
        <v>304.8</v>
      </c>
      <c r="C24" s="29">
        <f t="shared" si="1"/>
        <v>103.07744335475147</v>
      </c>
    </row>
    <row r="25" spans="1:4">
      <c r="A25" s="2">
        <f t="shared" si="0"/>
        <v>43709</v>
      </c>
      <c r="B25">
        <v>341.8</v>
      </c>
      <c r="C25" s="29">
        <f t="shared" si="1"/>
        <v>115.59012512681774</v>
      </c>
    </row>
    <row r="26" spans="1:4">
      <c r="A26" s="2">
        <f t="shared" si="0"/>
        <v>43739</v>
      </c>
      <c r="B26">
        <v>291.7</v>
      </c>
      <c r="C26" s="29">
        <f t="shared" si="1"/>
        <v>98.647277646263106</v>
      </c>
    </row>
    <row r="27" spans="1:4">
      <c r="A27" s="2"/>
      <c r="B27">
        <v>265.8</v>
      </c>
      <c r="C27" s="29">
        <f t="shared" si="1"/>
        <v>89.888400405816711</v>
      </c>
    </row>
    <row r="28" spans="1:4">
      <c r="A28" s="2">
        <f t="shared" si="0"/>
        <v>31</v>
      </c>
      <c r="B28">
        <v>256.10000000000002</v>
      </c>
      <c r="C28" s="29">
        <f t="shared" si="1"/>
        <v>86.608048698004751</v>
      </c>
      <c r="D28">
        <v>631.9</v>
      </c>
    </row>
    <row r="29" spans="1:4">
      <c r="A29" s="2">
        <f t="shared" si="0"/>
        <v>59</v>
      </c>
      <c r="B29">
        <v>285.10000000000002</v>
      </c>
      <c r="C29" s="29">
        <f t="shared" si="1"/>
        <v>96.41528576259725</v>
      </c>
      <c r="D29">
        <v>559.73</v>
      </c>
    </row>
    <row r="30" spans="1:4">
      <c r="A30" s="2">
        <f t="shared" si="0"/>
        <v>88</v>
      </c>
      <c r="B30">
        <v>277.60000000000002</v>
      </c>
      <c r="C30" s="29">
        <f t="shared" si="1"/>
        <v>93.878931349340561</v>
      </c>
      <c r="D30">
        <v>414.19</v>
      </c>
    </row>
    <row r="31" spans="1:4">
      <c r="A31" s="2">
        <f t="shared" si="0"/>
        <v>119</v>
      </c>
      <c r="B31">
        <v>199.8</v>
      </c>
      <c r="C31" s="29">
        <f t="shared" si="1"/>
        <v>67.568481569157939</v>
      </c>
      <c r="D31">
        <v>359.81</v>
      </c>
    </row>
    <row r="32" spans="1:4">
      <c r="A32" s="2">
        <f t="shared" si="0"/>
        <v>149</v>
      </c>
      <c r="B32">
        <v>150.69999999999999</v>
      </c>
      <c r="C32" s="29">
        <f t="shared" si="1"/>
        <v>50.96381467703754</v>
      </c>
      <c r="D32">
        <v>380.71</v>
      </c>
    </row>
    <row r="33" spans="1:4">
      <c r="A33" s="2">
        <f t="shared" si="0"/>
        <v>180</v>
      </c>
      <c r="B33">
        <v>163.80000000000001</v>
      </c>
      <c r="C33" s="29">
        <f t="shared" si="1"/>
        <v>55.393980385525879</v>
      </c>
      <c r="D33">
        <v>434.36</v>
      </c>
    </row>
    <row r="34" spans="1:4">
      <c r="A34" s="2">
        <f t="shared" si="0"/>
        <v>210</v>
      </c>
      <c r="B34">
        <v>221</v>
      </c>
      <c r="C34" s="29">
        <f t="shared" si="1"/>
        <v>74.737910043963481</v>
      </c>
      <c r="D34">
        <v>447.29</v>
      </c>
    </row>
    <row r="35" spans="1:4">
      <c r="A35" s="2">
        <f t="shared" si="0"/>
        <v>241</v>
      </c>
      <c r="C35" s="35">
        <f>C34*(1+(D35/D34-1))</f>
        <v>75.925923503715723</v>
      </c>
      <c r="D35">
        <v>454.4</v>
      </c>
    </row>
    <row r="36" spans="1:4">
      <c r="A36" s="2">
        <f t="shared" si="0"/>
        <v>272</v>
      </c>
      <c r="C36" s="35">
        <f>C35*(1+(D36/D35-1))</f>
        <v>73.606707354438484</v>
      </c>
      <c r="D36">
        <v>440.52</v>
      </c>
    </row>
    <row r="37" spans="1:4">
      <c r="A37" s="2">
        <f t="shared" si="0"/>
        <v>302</v>
      </c>
      <c r="C37" s="35">
        <f>C36*(1+(D37/D36-1))</f>
        <v>75.715389472873554</v>
      </c>
      <c r="D37">
        <v>453.14</v>
      </c>
    </row>
    <row r="38" spans="1:4">
      <c r="A38" s="2">
        <f t="shared" si="0"/>
        <v>333</v>
      </c>
      <c r="C38" s="35">
        <f t="shared" ref="C38:C51" si="2">C37*(1+(D38/D37-1))</f>
        <v>78.597700609403262</v>
      </c>
      <c r="D38">
        <v>470.39</v>
      </c>
    </row>
    <row r="39" spans="1:4">
      <c r="A39" s="2">
        <f t="shared" si="0"/>
        <v>363</v>
      </c>
      <c r="C39" s="35">
        <f t="shared" si="2"/>
        <v>81.576924236320636</v>
      </c>
      <c r="D39">
        <v>488.22</v>
      </c>
    </row>
    <row r="40" spans="1:4">
      <c r="A40" s="2">
        <f t="shared" si="0"/>
        <v>394</v>
      </c>
      <c r="C40" s="35">
        <f t="shared" si="2"/>
        <v>84.947139634802028</v>
      </c>
      <c r="D40">
        <v>508.39</v>
      </c>
    </row>
    <row r="41" spans="1:4">
      <c r="A41" s="2">
        <f t="shared" si="0"/>
        <v>425</v>
      </c>
      <c r="C41" s="35">
        <f t="shared" si="2"/>
        <v>93.637516574564899</v>
      </c>
      <c r="D41">
        <v>560.4</v>
      </c>
    </row>
    <row r="42" spans="1:4">
      <c r="A42" s="2">
        <f t="shared" si="0"/>
        <v>453</v>
      </c>
      <c r="C42" s="35">
        <f t="shared" si="2"/>
        <v>96.825603327317751</v>
      </c>
      <c r="D42">
        <v>579.48</v>
      </c>
    </row>
    <row r="43" spans="1:4">
      <c r="A43" s="2">
        <f t="shared" si="0"/>
        <v>484</v>
      </c>
      <c r="C43" s="35">
        <f t="shared" si="2"/>
        <v>94.441221882779857</v>
      </c>
      <c r="D43">
        <v>565.21</v>
      </c>
    </row>
    <row r="44" spans="1:4">
      <c r="A44" s="2">
        <f t="shared" si="0"/>
        <v>514</v>
      </c>
      <c r="C44" s="35">
        <f t="shared" si="2"/>
        <v>94.160509841656946</v>
      </c>
      <c r="D44">
        <v>563.53</v>
      </c>
    </row>
    <row r="45" spans="1:4">
      <c r="A45" s="2">
        <f t="shared" si="0"/>
        <v>545</v>
      </c>
      <c r="C45" s="35">
        <f t="shared" si="2"/>
        <v>97.333558449349638</v>
      </c>
      <c r="D45">
        <v>582.52</v>
      </c>
    </row>
    <row r="46" spans="1:4">
      <c r="A46" s="2">
        <f t="shared" si="0"/>
        <v>575</v>
      </c>
      <c r="C46" s="35">
        <f t="shared" si="2"/>
        <v>101.65618970164086</v>
      </c>
      <c r="D46">
        <v>608.39</v>
      </c>
    </row>
    <row r="47" spans="1:4">
      <c r="A47" s="2">
        <f t="shared" si="0"/>
        <v>606</v>
      </c>
      <c r="C47" s="35">
        <f t="shared" si="2"/>
        <v>98.99945074101349</v>
      </c>
      <c r="D47">
        <v>592.49</v>
      </c>
    </row>
    <row r="48" spans="1:4">
      <c r="A48" s="2">
        <f t="shared" si="0"/>
        <v>637</v>
      </c>
      <c r="C48" s="35">
        <f t="shared" si="2"/>
        <v>104.07231834130576</v>
      </c>
      <c r="D48">
        <v>622.85</v>
      </c>
    </row>
    <row r="49" spans="1:4">
      <c r="A49" s="2">
        <f t="shared" si="0"/>
        <v>667</v>
      </c>
      <c r="C49" s="35">
        <f t="shared" si="2"/>
        <v>112.74932804101516</v>
      </c>
      <c r="D49">
        <v>674.78</v>
      </c>
    </row>
    <row r="50" spans="1:4">
      <c r="A50" s="2">
        <f t="shared" si="0"/>
        <v>698</v>
      </c>
      <c r="C50" s="35">
        <f t="shared" si="2"/>
        <v>112.98659655196428</v>
      </c>
      <c r="D50">
        <v>676.2</v>
      </c>
    </row>
    <row r="51" spans="1:4">
      <c r="A51" s="2">
        <f t="shared" si="0"/>
        <v>728</v>
      </c>
      <c r="C51" s="35">
        <f t="shared" si="2"/>
        <v>108.70907973485353</v>
      </c>
      <c r="D51" s="29">
        <v>650.6</v>
      </c>
    </row>
    <row r="52" spans="1:4">
      <c r="A52" s="2">
        <f t="shared" si="0"/>
        <v>759</v>
      </c>
      <c r="C52" s="35">
        <f>C51*(1+(D52/D51-1))</f>
        <v>117.1605172586606</v>
      </c>
      <c r="D52" s="29">
        <v>701.18</v>
      </c>
    </row>
    <row r="53" spans="1:4">
      <c r="A53" s="2">
        <f t="shared" si="0"/>
        <v>790</v>
      </c>
      <c r="C53" s="35">
        <f>C52*(1+(D53/D52-1))</f>
        <v>125.70886727285539</v>
      </c>
      <c r="D53" s="29">
        <v>752.34</v>
      </c>
    </row>
    <row r="54" spans="1:4">
      <c r="A54" s="2">
        <f t="shared" si="0"/>
        <v>818</v>
      </c>
      <c r="C54" s="35">
        <f t="shared" ref="C54:C60" si="3">C53*(1+(D54/D53-1))</f>
        <v>146.61523071648415</v>
      </c>
      <c r="D54">
        <v>877.46</v>
      </c>
    </row>
    <row r="55" spans="1:4">
      <c r="A55" s="2">
        <f t="shared" si="0"/>
        <v>849</v>
      </c>
      <c r="C55" s="35">
        <f t="shared" si="3"/>
        <v>138.03179169714903</v>
      </c>
      <c r="D55">
        <v>826.09</v>
      </c>
    </row>
    <row r="56" spans="1:4">
      <c r="A56" s="2">
        <f t="shared" si="0"/>
        <v>879</v>
      </c>
      <c r="C56" s="35">
        <f t="shared" si="3"/>
        <v>140.40781861665351</v>
      </c>
      <c r="D56">
        <v>840.31</v>
      </c>
    </row>
    <row r="57" spans="1:4">
      <c r="A57" s="2">
        <f t="shared" si="0"/>
        <v>910</v>
      </c>
      <c r="C57" s="35">
        <f t="shared" si="3"/>
        <v>144.07712601133133</v>
      </c>
      <c r="D57">
        <v>862.27</v>
      </c>
    </row>
    <row r="58" spans="1:4">
      <c r="A58" s="2">
        <f t="shared" si="0"/>
        <v>940</v>
      </c>
      <c r="C58" s="35">
        <f t="shared" si="3"/>
        <v>137.13618661356648</v>
      </c>
      <c r="D58">
        <v>820.73</v>
      </c>
    </row>
    <row r="59" spans="1:4">
      <c r="A59" s="2">
        <f t="shared" si="0"/>
        <v>971</v>
      </c>
      <c r="C59" s="35">
        <f t="shared" si="3"/>
        <v>137.55057105522408</v>
      </c>
      <c r="D59">
        <v>823.21</v>
      </c>
    </row>
    <row r="60" spans="1:4">
      <c r="A60" s="2">
        <f t="shared" si="0"/>
        <v>1002</v>
      </c>
      <c r="C60" s="35">
        <f t="shared" si="3"/>
        <v>132.80687174124853</v>
      </c>
      <c r="D60">
        <v>794.82</v>
      </c>
    </row>
    <row r="61" spans="1:4">
      <c r="A61" s="2">
        <f t="shared" si="0"/>
        <v>1032</v>
      </c>
    </row>
    <row r="62" spans="1:4">
      <c r="A62" s="2">
        <f t="shared" si="0"/>
        <v>1063</v>
      </c>
    </row>
    <row r="63" spans="1:4">
      <c r="A63" s="2">
        <f t="shared" si="0"/>
        <v>1093</v>
      </c>
    </row>
    <row r="64" spans="1:4">
      <c r="A64" s="2">
        <f t="shared" si="0"/>
        <v>1124</v>
      </c>
    </row>
    <row r="65" spans="1:1">
      <c r="A65" s="2">
        <f t="shared" si="0"/>
        <v>1155</v>
      </c>
    </row>
    <row r="66" spans="1:1">
      <c r="A66" s="2">
        <f t="shared" si="0"/>
        <v>1183</v>
      </c>
    </row>
    <row r="67" spans="1:1">
      <c r="A67" s="2">
        <f t="shared" si="0"/>
        <v>1214</v>
      </c>
    </row>
    <row r="68" spans="1:1">
      <c r="A68" s="2">
        <f t="shared" ref="A68:A82" si="4">EDATE(A67,1)</f>
        <v>1244</v>
      </c>
    </row>
    <row r="69" spans="1:1">
      <c r="A69" s="2">
        <f t="shared" si="4"/>
        <v>1275</v>
      </c>
    </row>
    <row r="70" spans="1:1">
      <c r="A70" s="2">
        <f t="shared" si="4"/>
        <v>1305</v>
      </c>
    </row>
    <row r="71" spans="1:1">
      <c r="A71" s="2">
        <f t="shared" si="4"/>
        <v>1336</v>
      </c>
    </row>
    <row r="72" spans="1:1">
      <c r="A72" s="2">
        <f t="shared" si="4"/>
        <v>1367</v>
      </c>
    </row>
    <row r="73" spans="1:1">
      <c r="A73" s="2">
        <f t="shared" si="4"/>
        <v>1397</v>
      </c>
    </row>
    <row r="74" spans="1:1">
      <c r="A74" s="2">
        <f t="shared" si="4"/>
        <v>1428</v>
      </c>
    </row>
    <row r="75" spans="1:1">
      <c r="A75" s="2">
        <f t="shared" si="4"/>
        <v>1458</v>
      </c>
    </row>
    <row r="76" spans="1:1">
      <c r="A76" s="2">
        <f t="shared" si="4"/>
        <v>1489</v>
      </c>
    </row>
    <row r="77" spans="1:1">
      <c r="A77" s="2">
        <f t="shared" si="4"/>
        <v>1520</v>
      </c>
    </row>
    <row r="78" spans="1:1">
      <c r="A78" s="2">
        <f t="shared" si="4"/>
        <v>1549</v>
      </c>
    </row>
    <row r="79" spans="1:1">
      <c r="A79" s="2">
        <f t="shared" si="4"/>
        <v>1580</v>
      </c>
    </row>
    <row r="80" spans="1:1">
      <c r="A80" s="2">
        <f t="shared" si="4"/>
        <v>1610</v>
      </c>
    </row>
    <row r="81" spans="1:1">
      <c r="A81" s="2">
        <f t="shared" si="4"/>
        <v>1641</v>
      </c>
    </row>
    <row r="82" spans="1:1">
      <c r="A82" s="2">
        <f t="shared" si="4"/>
        <v>1671</v>
      </c>
    </row>
    <row r="83" spans="1:1">
      <c r="A83" s="2">
        <f>EDATE(A82,1)</f>
        <v>1702</v>
      </c>
    </row>
    <row r="84" spans="1:1">
      <c r="A84" s="2">
        <f t="shared" ref="A84:A88" si="5">EDATE(A83,1)</f>
        <v>1733</v>
      </c>
    </row>
    <row r="85" spans="1:1">
      <c r="A85" s="2">
        <f t="shared" si="5"/>
        <v>1763</v>
      </c>
    </row>
    <row r="86" spans="1:1">
      <c r="A86" s="2">
        <f t="shared" si="5"/>
        <v>1794</v>
      </c>
    </row>
    <row r="87" spans="1:1">
      <c r="A87" s="2">
        <f t="shared" si="5"/>
        <v>1824</v>
      </c>
    </row>
    <row r="88" spans="1:1">
      <c r="A88" s="2">
        <f t="shared" si="5"/>
        <v>1855</v>
      </c>
    </row>
    <row r="89" spans="1:1">
      <c r="A89" s="2"/>
    </row>
    <row r="90" spans="1:1">
      <c r="A90" s="2"/>
    </row>
    <row r="91" spans="1:1">
      <c r="A91" s="2"/>
    </row>
  </sheetData>
  <sheetProtection algorithmName="SHA-512" hashValue="lFzZUmITV3385y9e8fyWmfG3CFu/K9lRol0BDHu+0ipzDiQ58/gQ6fDEa5LaQqd7lVAcOqIT5iDMQZdNHUeWcQ==" saltValue="xn91pmz/L9ISoPHzc7CrBA==" spinCount="100000" sheet="1" insertColumns="0" insertRows="0" insertHyperlinks="0" deleteColumns="0" deleteRows="0" sort="0" autoFilter="0"/>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D7760-36DA-4CB6-AF83-A1C75C0EB0D7}">
  <sheetPr codeName="Feuil13">
    <tabColor theme="6"/>
  </sheetPr>
  <dimension ref="A1:B24"/>
  <sheetViews>
    <sheetView workbookViewId="0">
      <selection activeCell="B37" sqref="B37"/>
    </sheetView>
  </sheetViews>
  <sheetFormatPr baseColWidth="10" defaultRowHeight="15"/>
  <cols>
    <col min="1" max="1" width="6.28515625" bestFit="1" customWidth="1"/>
    <col min="2" max="2" width="74.85546875" bestFit="1" customWidth="1"/>
  </cols>
  <sheetData>
    <row r="1" spans="1:2">
      <c r="A1" t="s">
        <v>19</v>
      </c>
      <c r="B1" t="s">
        <v>0</v>
      </c>
    </row>
    <row r="2" spans="1:2">
      <c r="A2" t="s">
        <v>20</v>
      </c>
      <c r="B2" t="s">
        <v>1</v>
      </c>
    </row>
    <row r="3" spans="1:2">
      <c r="A3" t="s">
        <v>21</v>
      </c>
      <c r="B3" t="s">
        <v>2</v>
      </c>
    </row>
    <row r="4" spans="1:2">
      <c r="A4" t="s">
        <v>22</v>
      </c>
      <c r="B4" t="s">
        <v>3</v>
      </c>
    </row>
    <row r="5" spans="1:2">
      <c r="A5" t="s">
        <v>23</v>
      </c>
      <c r="B5" t="s">
        <v>4</v>
      </c>
    </row>
    <row r="6" spans="1:2">
      <c r="A6" t="s">
        <v>24</v>
      </c>
      <c r="B6" t="s">
        <v>5</v>
      </c>
    </row>
    <row r="7" spans="1:2">
      <c r="A7" t="s">
        <v>25</v>
      </c>
      <c r="B7" t="s">
        <v>6</v>
      </c>
    </row>
    <row r="8" spans="1:2">
      <c r="A8" t="s">
        <v>26</v>
      </c>
      <c r="B8" t="s">
        <v>7</v>
      </c>
    </row>
    <row r="9" spans="1:2">
      <c r="A9" t="s">
        <v>27</v>
      </c>
      <c r="B9" t="s">
        <v>8</v>
      </c>
    </row>
    <row r="10" spans="1:2">
      <c r="A10" t="s">
        <v>28</v>
      </c>
      <c r="B10" t="s">
        <v>275</v>
      </c>
    </row>
    <row r="11" spans="1:2">
      <c r="A11" t="s">
        <v>29</v>
      </c>
      <c r="B11" t="s">
        <v>350</v>
      </c>
    </row>
    <row r="12" spans="1:2">
      <c r="A12" t="s">
        <v>30</v>
      </c>
      <c r="B12" t="s">
        <v>9</v>
      </c>
    </row>
    <row r="13" spans="1:2">
      <c r="A13" t="s">
        <v>31</v>
      </c>
      <c r="B13" t="s">
        <v>10</v>
      </c>
    </row>
    <row r="14" spans="1:2">
      <c r="A14" t="s">
        <v>32</v>
      </c>
      <c r="B14" t="s">
        <v>11</v>
      </c>
    </row>
    <row r="15" spans="1:2">
      <c r="A15" t="s">
        <v>33</v>
      </c>
      <c r="B15" t="s">
        <v>12</v>
      </c>
    </row>
    <row r="16" spans="1:2">
      <c r="A16" t="s">
        <v>269</v>
      </c>
      <c r="B16" t="s">
        <v>276</v>
      </c>
    </row>
    <row r="17" spans="1:2">
      <c r="A17" t="s">
        <v>270</v>
      </c>
      <c r="B17" t="s">
        <v>277</v>
      </c>
    </row>
    <row r="18" spans="1:2">
      <c r="A18" t="s">
        <v>34</v>
      </c>
      <c r="B18" t="s">
        <v>13</v>
      </c>
    </row>
    <row r="19" spans="1:2">
      <c r="A19" t="s">
        <v>35</v>
      </c>
      <c r="B19" t="s">
        <v>14</v>
      </c>
    </row>
    <row r="20" spans="1:2">
      <c r="A20" t="s">
        <v>36</v>
      </c>
      <c r="B20" t="s">
        <v>15</v>
      </c>
    </row>
    <row r="21" spans="1:2">
      <c r="A21" t="s">
        <v>37</v>
      </c>
      <c r="B21" t="s">
        <v>16</v>
      </c>
    </row>
    <row r="22" spans="1:2">
      <c r="A22" t="s">
        <v>38</v>
      </c>
      <c r="B22" t="s">
        <v>17</v>
      </c>
    </row>
    <row r="23" spans="1:2">
      <c r="A23" t="s">
        <v>271</v>
      </c>
      <c r="B23" t="s">
        <v>278</v>
      </c>
    </row>
    <row r="24" spans="1:2">
      <c r="A24" t="s">
        <v>272</v>
      </c>
      <c r="B24" t="s">
        <v>315</v>
      </c>
    </row>
  </sheetData>
  <sheetProtection algorithmName="SHA-512" hashValue="z0S1lqr+fYZ8YtSVJeTt2U6CsIYEnydRMOg8cTbAyN3MK3LKMxo27zQvnrzhaHCZWmHfhRhWlD8l4Z6wb2yAkA==" saltValue="tzqHR0/ps5/N8vpB8KNVUQ=="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FFACF-B350-4392-8109-817D96030DE2}">
  <sheetPr codeName="Feuil17">
    <tabColor theme="6"/>
  </sheetPr>
  <dimension ref="A1:AR29"/>
  <sheetViews>
    <sheetView zoomScale="110" zoomScaleNormal="110" workbookViewId="0">
      <pane ySplit="3" topLeftCell="A4" activePane="bottomLeft" state="frozen"/>
      <selection activeCell="B20" sqref="B20"/>
      <selection pane="bottomLeft" activeCell="A11" sqref="A11"/>
    </sheetView>
  </sheetViews>
  <sheetFormatPr baseColWidth="10" defaultRowHeight="15"/>
  <cols>
    <col min="2" max="2" width="11.42578125" style="80"/>
    <col min="21" max="21" width="17.85546875" customWidth="1"/>
  </cols>
  <sheetData>
    <row r="1" spans="1:44" s="21" customFormat="1">
      <c r="B1" s="178"/>
      <c r="D1" s="21" t="s">
        <v>164</v>
      </c>
      <c r="E1" s="21" t="s">
        <v>165</v>
      </c>
      <c r="F1" s="21" t="s">
        <v>166</v>
      </c>
      <c r="G1" s="21" t="s">
        <v>166</v>
      </c>
      <c r="H1" s="21" t="s">
        <v>167</v>
      </c>
      <c r="I1" s="21" t="s">
        <v>168</v>
      </c>
      <c r="J1" s="21" t="s">
        <v>165</v>
      </c>
      <c r="K1" s="21" t="s">
        <v>166</v>
      </c>
      <c r="L1" s="21" t="s">
        <v>166</v>
      </c>
      <c r="M1" s="21" t="s">
        <v>166</v>
      </c>
      <c r="N1" s="21" t="s">
        <v>169</v>
      </c>
      <c r="O1" s="21" t="s">
        <v>169</v>
      </c>
      <c r="P1" s="21" t="s">
        <v>169</v>
      </c>
      <c r="Q1" s="21" t="s">
        <v>169</v>
      </c>
      <c r="R1" s="21" t="s">
        <v>169</v>
      </c>
      <c r="S1" s="21" t="s">
        <v>169</v>
      </c>
      <c r="T1" s="21" t="s">
        <v>169</v>
      </c>
      <c r="U1" s="21" t="s">
        <v>169</v>
      </c>
      <c r="V1" s="21" t="s">
        <v>169</v>
      </c>
      <c r="W1" s="21" t="s">
        <v>169</v>
      </c>
      <c r="X1" s="21" t="s">
        <v>169</v>
      </c>
      <c r="Y1" s="21" t="s">
        <v>169</v>
      </c>
      <c r="Z1" s="21" t="s">
        <v>169</v>
      </c>
      <c r="AA1" s="21" t="s">
        <v>169</v>
      </c>
      <c r="AB1" s="21" t="s">
        <v>169</v>
      </c>
      <c r="AC1" s="21" t="s">
        <v>169</v>
      </c>
      <c r="AD1" s="21" t="s">
        <v>169</v>
      </c>
      <c r="AE1" s="21" t="s">
        <v>169</v>
      </c>
      <c r="AF1" s="21" t="s">
        <v>169</v>
      </c>
      <c r="AG1" s="21" t="s">
        <v>169</v>
      </c>
      <c r="AH1" s="21" t="s">
        <v>169</v>
      </c>
      <c r="AI1" s="21" t="s">
        <v>169</v>
      </c>
      <c r="AJ1" s="21" t="s">
        <v>169</v>
      </c>
      <c r="AK1" s="21" t="s">
        <v>169</v>
      </c>
      <c r="AL1" s="21" t="s">
        <v>169</v>
      </c>
      <c r="AM1" s="21" t="s">
        <v>169</v>
      </c>
      <c r="AN1" s="21" t="s">
        <v>169</v>
      </c>
      <c r="AO1" s="21" t="s">
        <v>169</v>
      </c>
      <c r="AP1" s="21" t="s">
        <v>167</v>
      </c>
      <c r="AQ1" s="21" t="s">
        <v>170</v>
      </c>
      <c r="AR1" s="21" t="s">
        <v>170</v>
      </c>
    </row>
    <row r="2" spans="1:44">
      <c r="B2" s="80" t="s">
        <v>19</v>
      </c>
      <c r="D2" t="s">
        <v>115</v>
      </c>
      <c r="E2" t="s">
        <v>116</v>
      </c>
      <c r="F2" t="s">
        <v>316</v>
      </c>
      <c r="G2" t="s">
        <v>118</v>
      </c>
      <c r="H2" t="s">
        <v>119</v>
      </c>
      <c r="I2" t="s">
        <v>120</v>
      </c>
      <c r="J2" t="s">
        <v>117</v>
      </c>
      <c r="K2" t="s">
        <v>121</v>
      </c>
      <c r="L2" s="33" t="s">
        <v>263</v>
      </c>
      <c r="M2" t="s">
        <v>55</v>
      </c>
      <c r="N2" t="s">
        <v>122</v>
      </c>
      <c r="O2" t="s">
        <v>123</v>
      </c>
      <c r="P2" t="s">
        <v>124</v>
      </c>
      <c r="Q2" t="s">
        <v>125</v>
      </c>
      <c r="R2" t="s">
        <v>126</v>
      </c>
      <c r="S2" t="s">
        <v>127</v>
      </c>
      <c r="T2" t="s">
        <v>128</v>
      </c>
      <c r="U2" t="s">
        <v>258</v>
      </c>
      <c r="V2" t="s">
        <v>129</v>
      </c>
      <c r="W2" t="s">
        <v>130</v>
      </c>
      <c r="X2" t="s">
        <v>131</v>
      </c>
      <c r="Y2" t="s">
        <v>132</v>
      </c>
      <c r="Z2" t="s">
        <v>133</v>
      </c>
      <c r="AA2" t="s">
        <v>134</v>
      </c>
      <c r="AB2" t="s">
        <v>266</v>
      </c>
      <c r="AC2" t="s">
        <v>261</v>
      </c>
      <c r="AD2" t="s">
        <v>135</v>
      </c>
      <c r="AE2" t="s">
        <v>136</v>
      </c>
      <c r="AF2" t="s">
        <v>137</v>
      </c>
      <c r="AG2" t="s">
        <v>138</v>
      </c>
      <c r="AH2" t="s">
        <v>139</v>
      </c>
      <c r="AI2" t="s">
        <v>140</v>
      </c>
      <c r="AJ2" t="s">
        <v>141</v>
      </c>
      <c r="AK2" t="s">
        <v>142</v>
      </c>
      <c r="AL2" t="s">
        <v>143</v>
      </c>
      <c r="AM2" t="s">
        <v>144</v>
      </c>
      <c r="AN2" t="s">
        <v>145</v>
      </c>
      <c r="AO2" t="s">
        <v>146</v>
      </c>
      <c r="AP2" t="s">
        <v>147</v>
      </c>
      <c r="AQ2" t="s">
        <v>148</v>
      </c>
      <c r="AR2" t="s">
        <v>149</v>
      </c>
    </row>
    <row r="3" spans="1:44">
      <c r="D3" s="33" t="s">
        <v>47</v>
      </c>
      <c r="E3" s="33">
        <v>8308500</v>
      </c>
      <c r="F3" s="33" t="s">
        <v>317</v>
      </c>
      <c r="G3" s="33" t="s">
        <v>50</v>
      </c>
      <c r="H3" s="33" t="s">
        <v>51</v>
      </c>
      <c r="I3" s="33" t="s">
        <v>52</v>
      </c>
      <c r="J3" s="33" t="s">
        <v>49</v>
      </c>
      <c r="K3" s="33" t="s">
        <v>53</v>
      </c>
      <c r="L3" s="33" t="s">
        <v>264</v>
      </c>
      <c r="M3" s="33" t="s">
        <v>55</v>
      </c>
      <c r="N3" s="33" t="s">
        <v>56</v>
      </c>
      <c r="O3" s="33" t="s">
        <v>57</v>
      </c>
      <c r="P3" s="33" t="s">
        <v>58</v>
      </c>
      <c r="Q3" s="33" t="s">
        <v>59</v>
      </c>
      <c r="R3" s="33" t="s">
        <v>319</v>
      </c>
      <c r="S3" s="33" t="s">
        <v>60</v>
      </c>
      <c r="T3" s="33" t="s">
        <v>61</v>
      </c>
      <c r="U3" s="184" t="s">
        <v>256</v>
      </c>
      <c r="V3" s="33" t="s">
        <v>62</v>
      </c>
      <c r="W3" s="33" t="s">
        <v>63</v>
      </c>
      <c r="X3" s="33" t="s">
        <v>64</v>
      </c>
      <c r="Y3" s="33" t="s">
        <v>65</v>
      </c>
      <c r="Z3" s="33" t="s">
        <v>66</v>
      </c>
      <c r="AA3" s="33" t="s">
        <v>67</v>
      </c>
      <c r="AB3" s="32" t="s">
        <v>268</v>
      </c>
      <c r="AC3" s="33" t="s">
        <v>260</v>
      </c>
      <c r="AD3" s="33" t="s">
        <v>69</v>
      </c>
      <c r="AE3" s="33" t="s">
        <v>70</v>
      </c>
      <c r="AF3" s="33" t="s">
        <v>71</v>
      </c>
      <c r="AG3" s="33" t="s">
        <v>72</v>
      </c>
      <c r="AH3" s="33" t="s">
        <v>73</v>
      </c>
      <c r="AI3" s="33" t="s">
        <v>74</v>
      </c>
      <c r="AJ3" s="33" t="s">
        <v>75</v>
      </c>
      <c r="AK3" s="33" t="s">
        <v>76</v>
      </c>
      <c r="AL3" s="33" t="s">
        <v>77</v>
      </c>
      <c r="AM3" t="s">
        <v>78</v>
      </c>
      <c r="AN3" t="s">
        <v>79</v>
      </c>
      <c r="AO3" s="33" t="s">
        <v>80</v>
      </c>
      <c r="AP3" s="33" t="s">
        <v>81</v>
      </c>
      <c r="AQ3" s="33" t="s">
        <v>82</v>
      </c>
      <c r="AR3" s="33" t="s">
        <v>83</v>
      </c>
    </row>
    <row r="4" spans="1:44">
      <c r="A4" t="s">
        <v>19</v>
      </c>
      <c r="C4" s="81"/>
      <c r="D4" s="82"/>
      <c r="E4" s="82"/>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row>
    <row r="5" spans="1:44">
      <c r="A5" t="s">
        <v>20</v>
      </c>
      <c r="B5" s="182">
        <v>0.09</v>
      </c>
      <c r="C5" s="78">
        <f>SUM(D5:AR5)</f>
        <v>1</v>
      </c>
      <c r="D5" s="79">
        <v>0.21</v>
      </c>
      <c r="E5" s="79">
        <v>0.5</v>
      </c>
      <c r="F5" s="79">
        <v>0.01</v>
      </c>
      <c r="G5" s="78"/>
      <c r="H5" s="78">
        <v>0.01</v>
      </c>
      <c r="I5" s="78">
        <v>0.01</v>
      </c>
      <c r="J5" s="79"/>
      <c r="K5" s="78">
        <v>0.01</v>
      </c>
      <c r="L5" s="78"/>
      <c r="M5" s="78"/>
      <c r="N5" s="78">
        <v>0.01</v>
      </c>
      <c r="O5" s="78">
        <v>0.01</v>
      </c>
      <c r="P5" s="78">
        <v>0.12</v>
      </c>
      <c r="Q5" s="78">
        <v>0.1</v>
      </c>
      <c r="R5" s="78"/>
      <c r="S5" s="78"/>
      <c r="T5" s="78"/>
      <c r="U5" s="78"/>
      <c r="V5" s="78"/>
      <c r="W5" s="78"/>
      <c r="X5" s="78"/>
      <c r="Y5" s="78"/>
      <c r="Z5" s="78"/>
      <c r="AA5" s="78"/>
      <c r="AB5" s="78"/>
      <c r="AC5" s="78"/>
      <c r="AD5" s="78"/>
      <c r="AE5" s="78"/>
      <c r="AF5" s="78"/>
      <c r="AG5" s="78"/>
      <c r="AH5" s="78"/>
      <c r="AI5" s="78"/>
      <c r="AJ5" s="78"/>
      <c r="AK5" s="78"/>
      <c r="AL5" s="78"/>
      <c r="AM5" s="78"/>
      <c r="AN5" s="78"/>
      <c r="AO5" s="78"/>
      <c r="AP5" s="78"/>
      <c r="AQ5" s="78">
        <v>0.01</v>
      </c>
      <c r="AR5" s="78"/>
    </row>
    <row r="6" spans="1:44">
      <c r="A6" s="80" t="s">
        <v>21</v>
      </c>
      <c r="B6" s="182">
        <v>0.19</v>
      </c>
      <c r="C6" s="78">
        <f t="shared" ref="C6:C26" si="0">SUM(D6:AR6)</f>
        <v>1.0000000000000002</v>
      </c>
      <c r="D6" s="79">
        <v>0.27</v>
      </c>
      <c r="E6" s="79">
        <v>0.28999999999999998</v>
      </c>
      <c r="F6" s="79">
        <v>7.0000000000000007E-2</v>
      </c>
      <c r="G6" s="78">
        <v>0.01</v>
      </c>
      <c r="H6" s="78">
        <v>0.02</v>
      </c>
      <c r="I6" s="78">
        <v>0.05</v>
      </c>
      <c r="J6" s="79">
        <v>0.04</v>
      </c>
      <c r="K6" s="78"/>
      <c r="L6" s="78"/>
      <c r="M6" s="78"/>
      <c r="N6" s="78"/>
      <c r="O6" s="78"/>
      <c r="P6" s="78"/>
      <c r="Q6" s="78"/>
      <c r="R6" s="78">
        <v>0.12</v>
      </c>
      <c r="S6" s="78">
        <v>0.03</v>
      </c>
      <c r="T6" s="78">
        <v>0.06</v>
      </c>
      <c r="U6" s="78">
        <v>0.01</v>
      </c>
      <c r="V6" s="78"/>
      <c r="W6" s="78"/>
      <c r="X6" s="78"/>
      <c r="Y6" s="78"/>
      <c r="Z6" s="78"/>
      <c r="AA6" s="78"/>
      <c r="AB6" s="78"/>
      <c r="AC6" s="78"/>
      <c r="AD6" s="78"/>
      <c r="AE6" s="78"/>
      <c r="AF6" s="78"/>
      <c r="AG6" s="78"/>
      <c r="AH6" s="78"/>
      <c r="AI6" s="78"/>
      <c r="AJ6" s="78"/>
      <c r="AK6" s="78"/>
      <c r="AL6" s="78"/>
      <c r="AM6" s="78"/>
      <c r="AN6" s="78"/>
      <c r="AO6" s="78"/>
      <c r="AP6" s="78"/>
      <c r="AQ6" s="78">
        <v>0.03</v>
      </c>
      <c r="AR6" s="78"/>
    </row>
    <row r="7" spans="1:44">
      <c r="A7" s="80" t="s">
        <v>22</v>
      </c>
      <c r="B7" s="182">
        <v>5.0000000000000001E-3</v>
      </c>
      <c r="C7" s="78">
        <f t="shared" si="0"/>
        <v>1</v>
      </c>
      <c r="D7" s="79">
        <v>0.17</v>
      </c>
      <c r="E7" s="79">
        <v>0.21</v>
      </c>
      <c r="F7" s="79">
        <v>0.04</v>
      </c>
      <c r="G7" s="78"/>
      <c r="H7" s="78">
        <v>0.03</v>
      </c>
      <c r="I7" s="78">
        <v>0.02</v>
      </c>
      <c r="J7" s="79">
        <v>0.08</v>
      </c>
      <c r="K7" s="78"/>
      <c r="L7" s="78"/>
      <c r="M7" s="78"/>
      <c r="N7" s="78"/>
      <c r="O7" s="78"/>
      <c r="P7" s="78"/>
      <c r="Q7" s="78"/>
      <c r="R7" s="78">
        <v>0.01</v>
      </c>
      <c r="S7" s="78"/>
      <c r="T7" s="78"/>
      <c r="U7" s="78">
        <v>0.44</v>
      </c>
      <c r="V7" s="78"/>
      <c r="W7" s="78"/>
      <c r="X7" s="78"/>
      <c r="Y7" s="78"/>
      <c r="Z7" s="78"/>
      <c r="AA7" s="78"/>
      <c r="AB7" s="78"/>
      <c r="AC7" s="78"/>
      <c r="AD7" s="78"/>
      <c r="AE7" s="78"/>
      <c r="AF7" s="78"/>
      <c r="AG7" s="78"/>
      <c r="AH7" s="78"/>
      <c r="AI7" s="78"/>
      <c r="AJ7" s="78"/>
      <c r="AK7" s="78"/>
      <c r="AL7" s="78"/>
      <c r="AM7" s="78"/>
      <c r="AN7" s="78"/>
      <c r="AO7" s="78"/>
      <c r="AP7" s="78"/>
      <c r="AQ7" s="78"/>
      <c r="AR7" s="78"/>
    </row>
    <row r="8" spans="1:44">
      <c r="A8" t="s">
        <v>23</v>
      </c>
      <c r="B8" s="182">
        <v>0.03</v>
      </c>
      <c r="C8" s="78">
        <f t="shared" si="0"/>
        <v>1.0000000000000002</v>
      </c>
      <c r="D8" s="79">
        <v>0.19</v>
      </c>
      <c r="E8" s="79">
        <v>0.33</v>
      </c>
      <c r="F8" s="79">
        <v>0.03</v>
      </c>
      <c r="G8" s="78"/>
      <c r="H8" s="78">
        <v>0.03</v>
      </c>
      <c r="I8" s="78">
        <v>0.05</v>
      </c>
      <c r="J8" s="79"/>
      <c r="K8" s="78">
        <v>0.01</v>
      </c>
      <c r="L8" s="78"/>
      <c r="M8" s="78"/>
      <c r="N8" s="78"/>
      <c r="O8" s="78"/>
      <c r="P8" s="78">
        <v>0.16</v>
      </c>
      <c r="Q8" s="78">
        <v>0.12</v>
      </c>
      <c r="R8" s="78">
        <v>0.01</v>
      </c>
      <c r="S8" s="78"/>
      <c r="T8" s="78">
        <v>0.04</v>
      </c>
      <c r="U8" s="78"/>
      <c r="V8" s="78"/>
      <c r="W8" s="78"/>
      <c r="X8" s="78"/>
      <c r="Y8" s="78"/>
      <c r="Z8" s="78"/>
      <c r="AA8" s="78"/>
      <c r="AB8" s="78"/>
      <c r="AC8" s="78"/>
      <c r="AD8" s="78"/>
      <c r="AE8" s="78"/>
      <c r="AF8" s="78"/>
      <c r="AG8" s="78"/>
      <c r="AH8" s="78"/>
      <c r="AI8" s="78"/>
      <c r="AJ8" s="78"/>
      <c r="AK8" s="78"/>
      <c r="AL8" s="78"/>
      <c r="AM8" s="78"/>
      <c r="AN8" s="78"/>
      <c r="AO8" s="78"/>
      <c r="AP8" s="78"/>
      <c r="AQ8" s="78"/>
      <c r="AR8" s="78">
        <v>0.03</v>
      </c>
    </row>
    <row r="9" spans="1:44">
      <c r="A9" t="s">
        <v>24</v>
      </c>
      <c r="B9" s="182">
        <v>1.4999999999999999E-2</v>
      </c>
      <c r="C9" s="78">
        <f t="shared" si="0"/>
        <v>1.0000000000000002</v>
      </c>
      <c r="D9" s="79">
        <v>0.17</v>
      </c>
      <c r="E9" s="79">
        <v>0.39</v>
      </c>
      <c r="F9" s="79">
        <v>0.01</v>
      </c>
      <c r="G9" s="78"/>
      <c r="H9" s="78">
        <v>0.05</v>
      </c>
      <c r="I9" s="78">
        <v>0.01</v>
      </c>
      <c r="J9" s="79"/>
      <c r="K9" s="78">
        <v>0.01</v>
      </c>
      <c r="L9" s="78"/>
      <c r="M9" s="78"/>
      <c r="N9" s="78"/>
      <c r="O9" s="78"/>
      <c r="P9" s="78">
        <v>0.23</v>
      </c>
      <c r="Q9" s="78">
        <v>7.0000000000000007E-2</v>
      </c>
      <c r="R9" s="78"/>
      <c r="S9" s="78"/>
      <c r="T9" s="78"/>
      <c r="U9" s="78">
        <v>0.03</v>
      </c>
      <c r="V9" s="78"/>
      <c r="W9" s="78"/>
      <c r="X9" s="78"/>
      <c r="Y9" s="78"/>
      <c r="Z9" s="78"/>
      <c r="AA9" s="78"/>
      <c r="AB9" s="78"/>
      <c r="AC9" s="78"/>
      <c r="AD9" s="78"/>
      <c r="AE9" s="78"/>
      <c r="AF9" s="78"/>
      <c r="AG9" s="78"/>
      <c r="AH9" s="78"/>
      <c r="AI9" s="78"/>
      <c r="AJ9" s="78"/>
      <c r="AK9" s="78"/>
      <c r="AL9" s="78"/>
      <c r="AM9" s="78"/>
      <c r="AN9" s="78"/>
      <c r="AO9" s="78"/>
      <c r="AP9" s="78"/>
      <c r="AQ9" s="78">
        <v>0.03</v>
      </c>
      <c r="AR9" s="78"/>
    </row>
    <row r="10" spans="1:44">
      <c r="A10" t="s">
        <v>25</v>
      </c>
      <c r="B10" s="182">
        <v>1.4999999999999999E-2</v>
      </c>
      <c r="C10" s="78">
        <f t="shared" si="0"/>
        <v>1.0000000000000002</v>
      </c>
      <c r="D10" s="79">
        <v>0.27</v>
      </c>
      <c r="E10" s="79">
        <v>0.33</v>
      </c>
      <c r="F10" s="79">
        <v>0.01</v>
      </c>
      <c r="G10" s="78"/>
      <c r="H10" s="78">
        <v>0.06</v>
      </c>
      <c r="I10" s="78">
        <v>0.01</v>
      </c>
      <c r="J10" s="79"/>
      <c r="K10" s="78">
        <v>0.02</v>
      </c>
      <c r="L10" s="78"/>
      <c r="M10" s="78"/>
      <c r="N10" s="78"/>
      <c r="O10" s="78"/>
      <c r="P10" s="78">
        <v>0.19</v>
      </c>
      <c r="Q10" s="78">
        <v>0.06</v>
      </c>
      <c r="R10" s="78"/>
      <c r="S10" s="78"/>
      <c r="T10" s="78"/>
      <c r="U10" s="78"/>
      <c r="V10" s="78"/>
      <c r="W10" s="78"/>
      <c r="X10" s="78"/>
      <c r="Y10" s="78"/>
      <c r="Z10" s="78"/>
      <c r="AA10" s="78"/>
      <c r="AB10" s="78"/>
      <c r="AC10" s="78"/>
      <c r="AD10" s="78"/>
      <c r="AE10" s="78"/>
      <c r="AF10" s="78"/>
      <c r="AG10" s="78"/>
      <c r="AH10" s="78"/>
      <c r="AI10" s="78"/>
      <c r="AJ10" s="78"/>
      <c r="AK10" s="78"/>
      <c r="AL10" s="78"/>
      <c r="AM10" s="78"/>
      <c r="AN10" s="78"/>
      <c r="AO10" s="78"/>
      <c r="AP10" s="78"/>
      <c r="AQ10" s="78">
        <v>0.05</v>
      </c>
      <c r="AR10" s="78"/>
    </row>
    <row r="11" spans="1:44">
      <c r="A11" t="s">
        <v>26</v>
      </c>
      <c r="B11" s="182">
        <v>6.0000000000000001E-3</v>
      </c>
      <c r="C11" s="78">
        <f t="shared" si="0"/>
        <v>1</v>
      </c>
      <c r="D11" s="79">
        <v>0.54</v>
      </c>
      <c r="E11" s="79">
        <v>0.2</v>
      </c>
      <c r="F11" s="79">
        <v>0.02</v>
      </c>
      <c r="G11" s="78"/>
      <c r="H11" s="78">
        <v>7.0000000000000007E-2</v>
      </c>
      <c r="I11" s="78"/>
      <c r="J11" s="79"/>
      <c r="K11" s="78"/>
      <c r="M11" s="78">
        <v>0.17</v>
      </c>
      <c r="N11" s="78"/>
      <c r="O11" s="78"/>
      <c r="P11" s="78"/>
      <c r="Q11" s="78"/>
      <c r="R11" s="78"/>
      <c r="S11" s="78"/>
      <c r="T11" s="78"/>
      <c r="U11" s="78"/>
      <c r="V11" s="78"/>
      <c r="W11" s="78"/>
      <c r="X11" s="78"/>
      <c r="Y11" s="78"/>
      <c r="Z11" s="78"/>
      <c r="AA11" s="78"/>
      <c r="AB11" s="78"/>
      <c r="AC11" s="78"/>
      <c r="AD11" s="78"/>
      <c r="AE11" s="78"/>
      <c r="AF11" s="78"/>
      <c r="AG11" s="78"/>
      <c r="AH11" s="78"/>
      <c r="AI11" s="78"/>
      <c r="AJ11" s="78"/>
      <c r="AK11" s="78"/>
      <c r="AL11" s="78"/>
      <c r="AM11" s="78"/>
      <c r="AN11" s="78"/>
      <c r="AO11" s="78"/>
      <c r="AP11" s="78"/>
      <c r="AQ11" s="78"/>
      <c r="AR11" s="78"/>
    </row>
    <row r="12" spans="1:44">
      <c r="A12" t="s">
        <v>27</v>
      </c>
      <c r="B12" s="182">
        <v>4.0000000000000001E-3</v>
      </c>
      <c r="C12" s="78">
        <f t="shared" si="0"/>
        <v>1</v>
      </c>
      <c r="D12" s="79">
        <v>0.47</v>
      </c>
      <c r="E12" s="79">
        <v>0.38</v>
      </c>
      <c r="F12" s="79">
        <v>0.12</v>
      </c>
      <c r="G12" s="78"/>
      <c r="H12" s="78">
        <v>0.03</v>
      </c>
      <c r="I12" s="78"/>
      <c r="J12" s="79"/>
      <c r="K12" s="78"/>
      <c r="L12" s="78"/>
      <c r="M12" s="78"/>
      <c r="N12" s="78"/>
      <c r="O12" s="78"/>
      <c r="P12" s="78"/>
      <c r="Q12" s="78"/>
      <c r="R12" s="78"/>
      <c r="S12" s="78"/>
      <c r="T12" s="78"/>
      <c r="U12" s="78"/>
      <c r="V12" s="78"/>
      <c r="W12" s="78"/>
      <c r="X12" s="78"/>
      <c r="Y12" s="78"/>
      <c r="Z12" s="78"/>
      <c r="AA12" s="78"/>
      <c r="AB12" s="78"/>
      <c r="AC12" s="78"/>
      <c r="AD12" s="78"/>
      <c r="AE12" s="78"/>
      <c r="AF12" s="78"/>
      <c r="AG12" s="78"/>
      <c r="AH12" s="78"/>
      <c r="AI12" s="78"/>
      <c r="AJ12" s="78"/>
      <c r="AK12" s="78"/>
      <c r="AL12" s="78"/>
      <c r="AM12" s="78"/>
      <c r="AN12" s="78"/>
      <c r="AO12" s="78"/>
      <c r="AP12" s="78"/>
      <c r="AQ12" s="78"/>
      <c r="AR12" s="78"/>
    </row>
    <row r="13" spans="1:44">
      <c r="A13" t="s">
        <v>28</v>
      </c>
      <c r="B13" s="182">
        <v>5.0000000000000001E-3</v>
      </c>
      <c r="C13" s="78">
        <f>SUM(D13:AR13)</f>
        <v>1.0000000000000002</v>
      </c>
      <c r="D13" s="79">
        <v>0.26</v>
      </c>
      <c r="E13" s="79">
        <v>0.31</v>
      </c>
      <c r="F13" s="79">
        <v>0.03</v>
      </c>
      <c r="G13" s="78"/>
      <c r="H13" s="78">
        <v>0.05</v>
      </c>
      <c r="I13" s="78">
        <v>0.02</v>
      </c>
      <c r="J13" s="79"/>
      <c r="K13" s="78"/>
      <c r="L13" s="78"/>
      <c r="M13" s="78"/>
      <c r="N13" s="78"/>
      <c r="O13" s="78"/>
      <c r="P13" s="78">
        <v>0.08</v>
      </c>
      <c r="Q13" s="78">
        <v>0.05</v>
      </c>
      <c r="R13" s="78"/>
      <c r="S13" s="78"/>
      <c r="T13" s="78"/>
      <c r="U13" s="78"/>
      <c r="V13" s="78">
        <v>0.15</v>
      </c>
      <c r="W13" s="78"/>
      <c r="X13" s="78"/>
      <c r="Y13" s="78"/>
      <c r="Z13" s="78"/>
      <c r="AA13" s="78"/>
      <c r="AB13" s="78"/>
      <c r="AC13" s="78"/>
      <c r="AD13" s="78"/>
      <c r="AE13" s="78"/>
      <c r="AF13" s="78"/>
      <c r="AG13" s="78"/>
      <c r="AH13" s="78"/>
      <c r="AI13" s="78"/>
      <c r="AJ13" s="78"/>
      <c r="AK13" s="78"/>
      <c r="AL13" s="78"/>
      <c r="AM13" s="78"/>
      <c r="AN13" s="78">
        <v>0.05</v>
      </c>
      <c r="AO13" s="78"/>
      <c r="AP13" s="78"/>
      <c r="AQ13" s="78"/>
      <c r="AR13" s="78"/>
    </row>
    <row r="14" spans="1:44">
      <c r="A14" t="s">
        <v>29</v>
      </c>
      <c r="B14" s="182">
        <v>0.25800000000000001</v>
      </c>
      <c r="C14" s="78">
        <f t="shared" si="0"/>
        <v>1</v>
      </c>
      <c r="D14" s="79">
        <v>0.14000000000000001</v>
      </c>
      <c r="E14" s="79">
        <v>0.28000000000000003</v>
      </c>
      <c r="F14" s="79">
        <v>0.03</v>
      </c>
      <c r="G14" s="78">
        <v>0.02</v>
      </c>
      <c r="H14" s="78">
        <v>7.0000000000000007E-2</v>
      </c>
      <c r="I14" s="78">
        <v>0.1</v>
      </c>
      <c r="J14" s="79"/>
      <c r="K14" s="78">
        <v>0.01</v>
      </c>
      <c r="L14" s="173">
        <v>1.4999999999999999E-2</v>
      </c>
      <c r="M14" s="78"/>
      <c r="N14" s="78">
        <v>0.01</v>
      </c>
      <c r="O14" s="78"/>
      <c r="P14" s="78">
        <v>0.03</v>
      </c>
      <c r="Q14" s="174" t="s">
        <v>171</v>
      </c>
      <c r="R14" s="78">
        <v>0.11</v>
      </c>
      <c r="S14" s="78"/>
      <c r="T14" s="78"/>
      <c r="U14" s="78"/>
      <c r="V14" s="174" t="s">
        <v>171</v>
      </c>
      <c r="W14" s="78">
        <v>0.12</v>
      </c>
      <c r="X14" s="173">
        <v>4.4999999999999998E-2</v>
      </c>
      <c r="Y14" s="78">
        <v>0.01</v>
      </c>
      <c r="Z14" s="78">
        <v>0.01</v>
      </c>
      <c r="AA14" s="78"/>
      <c r="AB14" s="78"/>
      <c r="AC14" s="78"/>
      <c r="AD14" s="78"/>
      <c r="AE14" s="78"/>
      <c r="AF14" s="78"/>
      <c r="AG14" s="78"/>
      <c r="AH14" s="78"/>
      <c r="AI14" s="78"/>
      <c r="AJ14" s="78"/>
      <c r="AK14" s="78"/>
      <c r="AL14" s="78"/>
      <c r="AM14" s="78"/>
      <c r="AN14" s="78"/>
      <c r="AO14" s="78"/>
      <c r="AP14" s="78"/>
      <c r="AQ14" s="78"/>
      <c r="AR14" s="78"/>
    </row>
    <row r="15" spans="1:44">
      <c r="A15" t="s">
        <v>30</v>
      </c>
      <c r="B15" s="182">
        <v>8.2000000000000003E-2</v>
      </c>
      <c r="C15" s="78">
        <f t="shared" si="0"/>
        <v>1.0000000000000002</v>
      </c>
      <c r="D15" s="79">
        <v>0.125</v>
      </c>
      <c r="E15" s="79">
        <v>0.16500000000000001</v>
      </c>
      <c r="F15" s="79">
        <v>0.02</v>
      </c>
      <c r="G15" s="78">
        <v>0.02</v>
      </c>
      <c r="H15" s="78">
        <v>0.02</v>
      </c>
      <c r="I15" s="78">
        <v>0.15</v>
      </c>
      <c r="J15" s="79"/>
      <c r="K15" s="78">
        <v>0.01</v>
      </c>
      <c r="L15" s="78">
        <v>0.04</v>
      </c>
      <c r="M15" s="78"/>
      <c r="N15" s="78"/>
      <c r="O15" s="78"/>
      <c r="P15" s="78"/>
      <c r="Q15" s="78"/>
      <c r="R15" s="78">
        <v>0.15</v>
      </c>
      <c r="S15" s="78"/>
      <c r="T15" s="78"/>
      <c r="U15" s="78"/>
      <c r="V15" s="78"/>
      <c r="W15" s="78">
        <v>0.3</v>
      </c>
      <c r="X15" s="78"/>
      <c r="Y15" s="78"/>
      <c r="Z15" s="78"/>
      <c r="AA15" s="78"/>
      <c r="AB15" s="78"/>
      <c r="AC15" s="78"/>
      <c r="AD15" s="78"/>
      <c r="AE15" s="78"/>
      <c r="AF15" s="78"/>
      <c r="AG15" s="78"/>
      <c r="AH15" s="78"/>
      <c r="AI15" s="78"/>
      <c r="AJ15" s="78"/>
      <c r="AK15" s="78"/>
      <c r="AL15" s="78"/>
      <c r="AM15" s="78"/>
      <c r="AN15" s="78"/>
      <c r="AO15" s="78"/>
      <c r="AP15" s="78"/>
      <c r="AQ15" s="78"/>
      <c r="AR15" s="78"/>
    </row>
    <row r="16" spans="1:44">
      <c r="A16" t="s">
        <v>31</v>
      </c>
      <c r="B16" s="180">
        <v>1.6E-2</v>
      </c>
      <c r="C16" s="78">
        <f t="shared" si="0"/>
        <v>1</v>
      </c>
      <c r="D16" s="79">
        <v>0.26</v>
      </c>
      <c r="E16" s="79">
        <v>0.48</v>
      </c>
      <c r="F16" s="79">
        <v>0.01</v>
      </c>
      <c r="G16" s="78">
        <v>0.02</v>
      </c>
      <c r="H16" s="78">
        <v>0.02</v>
      </c>
      <c r="I16" s="78">
        <v>0.03</v>
      </c>
      <c r="J16" s="79"/>
      <c r="K16" s="78"/>
      <c r="L16" s="78"/>
      <c r="M16" s="78"/>
      <c r="N16" s="78"/>
      <c r="O16" s="78"/>
      <c r="P16" s="78"/>
      <c r="Q16" s="78"/>
      <c r="R16" s="78">
        <v>0.14000000000000001</v>
      </c>
      <c r="S16" s="78"/>
      <c r="T16" s="78"/>
      <c r="U16" s="78"/>
      <c r="V16" s="78"/>
      <c r="W16" s="78"/>
      <c r="X16" s="78"/>
      <c r="Y16" s="78"/>
      <c r="Z16" s="78"/>
      <c r="AA16" s="78"/>
      <c r="AB16" s="78"/>
      <c r="AC16" s="78"/>
      <c r="AD16" s="78"/>
      <c r="AE16" s="78"/>
      <c r="AF16" s="78"/>
      <c r="AG16" s="78"/>
      <c r="AH16" s="78"/>
      <c r="AI16" s="78"/>
      <c r="AJ16" s="78"/>
      <c r="AK16" s="78"/>
      <c r="AL16" s="78"/>
      <c r="AM16" s="78"/>
      <c r="AN16" s="78"/>
      <c r="AO16" s="78"/>
      <c r="AP16" s="78"/>
      <c r="AQ16" s="78"/>
      <c r="AR16" s="78">
        <v>0.04</v>
      </c>
    </row>
    <row r="17" spans="1:44">
      <c r="A17" t="s">
        <v>32</v>
      </c>
      <c r="B17" s="180">
        <v>1.0999999999999999E-2</v>
      </c>
      <c r="C17" s="78">
        <f t="shared" si="0"/>
        <v>1</v>
      </c>
      <c r="D17" s="79">
        <v>0.21</v>
      </c>
      <c r="E17" s="79">
        <v>0.32</v>
      </c>
      <c r="F17" s="79">
        <v>0.01</v>
      </c>
      <c r="G17" s="78">
        <v>0.02</v>
      </c>
      <c r="H17" s="78">
        <v>0.05</v>
      </c>
      <c r="I17" s="78">
        <v>0.02</v>
      </c>
      <c r="J17" s="79"/>
      <c r="K17" s="78"/>
      <c r="L17" s="78"/>
      <c r="M17" s="78"/>
      <c r="N17" s="78"/>
      <c r="O17" s="78"/>
      <c r="P17" s="78"/>
      <c r="Q17" s="78"/>
      <c r="R17" s="78"/>
      <c r="S17" s="78"/>
      <c r="T17" s="78"/>
      <c r="U17" s="78"/>
      <c r="V17" s="78"/>
      <c r="W17" s="78"/>
      <c r="X17" s="78"/>
      <c r="Y17" s="78"/>
      <c r="Z17" s="78"/>
      <c r="AA17" s="78"/>
      <c r="AB17" s="78"/>
      <c r="AC17" s="78">
        <v>0.09</v>
      </c>
      <c r="AD17" s="78">
        <v>0.27</v>
      </c>
      <c r="AE17" s="78"/>
      <c r="AF17" s="78"/>
      <c r="AG17" s="78"/>
      <c r="AH17" s="78"/>
      <c r="AI17" s="78"/>
      <c r="AJ17" s="78"/>
      <c r="AK17" s="78"/>
      <c r="AL17" s="78"/>
      <c r="AM17" s="78"/>
      <c r="AN17" s="78"/>
      <c r="AO17" s="78"/>
      <c r="AP17" s="78"/>
      <c r="AQ17" s="78"/>
      <c r="AR17" s="78">
        <v>0.01</v>
      </c>
    </row>
    <row r="18" spans="1:44">
      <c r="A18" t="s">
        <v>33</v>
      </c>
      <c r="B18" s="180">
        <v>3.0000000000000001E-3</v>
      </c>
      <c r="C18" s="78">
        <f t="shared" si="0"/>
        <v>1.0000000000000002</v>
      </c>
      <c r="D18" s="79">
        <v>0.27</v>
      </c>
      <c r="E18" s="79">
        <v>0.31</v>
      </c>
      <c r="F18" s="79">
        <v>0.01</v>
      </c>
      <c r="G18" s="78">
        <v>0.03</v>
      </c>
      <c r="H18" s="78">
        <v>0.02</v>
      </c>
      <c r="I18" s="78">
        <v>0.02</v>
      </c>
      <c r="J18" s="79"/>
      <c r="K18" s="78"/>
      <c r="L18" s="78"/>
      <c r="M18" s="78"/>
      <c r="N18" s="78">
        <v>0.03</v>
      </c>
      <c r="O18" s="78"/>
      <c r="P18" s="78"/>
      <c r="Q18" s="78"/>
      <c r="R18" s="78">
        <v>7.0000000000000007E-2</v>
      </c>
      <c r="S18" s="78"/>
      <c r="T18" s="78"/>
      <c r="U18" s="78"/>
      <c r="V18" s="78"/>
      <c r="W18" s="78"/>
      <c r="X18" s="78"/>
      <c r="Y18" s="78"/>
      <c r="Z18" s="78"/>
      <c r="AA18" s="78"/>
      <c r="AB18" s="78"/>
      <c r="AC18" s="78"/>
      <c r="AD18" s="78"/>
      <c r="AE18" s="78">
        <v>0.2</v>
      </c>
      <c r="AF18" s="78"/>
      <c r="AG18" s="78"/>
      <c r="AH18" s="78"/>
      <c r="AI18" s="78"/>
      <c r="AJ18" s="78"/>
      <c r="AK18" s="78"/>
      <c r="AL18" s="78"/>
      <c r="AM18" s="78"/>
      <c r="AN18" s="78"/>
      <c r="AO18" s="78"/>
      <c r="AP18" s="78"/>
      <c r="AQ18" s="78"/>
      <c r="AR18" s="78">
        <v>0.04</v>
      </c>
    </row>
    <row r="19" spans="1:44">
      <c r="A19" t="s">
        <v>269</v>
      </c>
      <c r="B19" s="181">
        <v>5.2999999999999999E-2</v>
      </c>
      <c r="C19" s="78">
        <f t="shared" ref="C19:C20" si="1">SUM(D19:AR19)</f>
        <v>1</v>
      </c>
      <c r="D19" s="78">
        <v>0.24</v>
      </c>
      <c r="E19" s="78">
        <v>0.26</v>
      </c>
      <c r="F19" s="78">
        <v>0.01</v>
      </c>
      <c r="G19" s="78">
        <v>0.02</v>
      </c>
      <c r="H19" s="78">
        <v>0.03</v>
      </c>
      <c r="I19" s="78">
        <v>0.03</v>
      </c>
      <c r="N19" s="78">
        <v>0.04</v>
      </c>
      <c r="R19" s="78">
        <v>0.08</v>
      </c>
      <c r="Z19" s="78">
        <v>0.27</v>
      </c>
      <c r="AQ19" s="78">
        <v>0.02</v>
      </c>
    </row>
    <row r="20" spans="1:44">
      <c r="A20" t="s">
        <v>270</v>
      </c>
      <c r="B20" s="181">
        <v>7.1999999999999995E-2</v>
      </c>
      <c r="C20" s="78">
        <f t="shared" si="1"/>
        <v>1.0000000000000002</v>
      </c>
      <c r="D20" s="78">
        <v>0.22</v>
      </c>
      <c r="E20" s="78">
        <v>0.3</v>
      </c>
      <c r="F20" s="78">
        <v>0.01</v>
      </c>
      <c r="G20" s="78">
        <v>0.03</v>
      </c>
      <c r="H20" s="78">
        <v>0.03</v>
      </c>
      <c r="I20" s="78">
        <v>0.05</v>
      </c>
      <c r="N20" s="78">
        <v>0.16</v>
      </c>
      <c r="R20" s="78">
        <v>0.1</v>
      </c>
      <c r="Z20" s="78">
        <v>0.02</v>
      </c>
      <c r="AA20" s="78">
        <v>0.03</v>
      </c>
      <c r="AB20" s="78">
        <v>0.02</v>
      </c>
      <c r="AQ20" s="78"/>
      <c r="AR20" s="78">
        <v>0.03</v>
      </c>
    </row>
    <row r="21" spans="1:44">
      <c r="A21" t="s">
        <v>34</v>
      </c>
      <c r="B21" s="180">
        <v>5.0000000000000001E-3</v>
      </c>
      <c r="C21" s="78">
        <f t="shared" si="0"/>
        <v>1</v>
      </c>
      <c r="D21" s="79">
        <v>0.12</v>
      </c>
      <c r="E21" s="79">
        <v>0.14000000000000001</v>
      </c>
      <c r="F21" s="79">
        <v>0.01</v>
      </c>
      <c r="G21" s="78">
        <v>0.01</v>
      </c>
      <c r="H21" s="78">
        <v>0.05</v>
      </c>
      <c r="I21" s="78">
        <v>0.01</v>
      </c>
      <c r="J21" s="79"/>
      <c r="K21" s="78"/>
      <c r="L21" s="78"/>
      <c r="M21" s="78"/>
      <c r="N21" s="78">
        <v>7.0000000000000007E-2</v>
      </c>
      <c r="O21" s="78"/>
      <c r="P21" s="78"/>
      <c r="Q21" s="78"/>
      <c r="R21" s="78">
        <v>0.05</v>
      </c>
      <c r="S21" s="78"/>
      <c r="T21" s="78"/>
      <c r="U21" s="78"/>
      <c r="V21" s="78"/>
      <c r="W21" s="78"/>
      <c r="X21" s="78"/>
      <c r="Y21" s="78"/>
      <c r="Z21" s="78">
        <v>0.5</v>
      </c>
      <c r="AA21" s="78"/>
      <c r="AB21" s="78"/>
      <c r="AC21" s="78"/>
      <c r="AD21" s="78"/>
      <c r="AE21" s="78">
        <v>0.03</v>
      </c>
      <c r="AF21" s="78"/>
      <c r="AG21" s="78"/>
      <c r="AH21" s="78"/>
      <c r="AI21" s="78"/>
      <c r="AJ21" s="78"/>
      <c r="AK21" s="78"/>
      <c r="AL21" s="78"/>
      <c r="AM21" s="78"/>
      <c r="AN21" s="78"/>
      <c r="AO21" s="78"/>
      <c r="AP21" s="78"/>
      <c r="AQ21" s="78"/>
      <c r="AR21" s="78">
        <v>0.01</v>
      </c>
    </row>
    <row r="22" spans="1:44">
      <c r="A22" t="s">
        <v>35</v>
      </c>
      <c r="B22" s="183">
        <v>7.4999999999999997E-2</v>
      </c>
      <c r="C22" s="78">
        <f t="shared" si="0"/>
        <v>0.99999999999999989</v>
      </c>
      <c r="D22" s="79">
        <v>0.1</v>
      </c>
      <c r="E22" s="79">
        <v>0.45</v>
      </c>
      <c r="F22" s="79">
        <v>8.3999999999999995E-3</v>
      </c>
      <c r="G22" s="78">
        <v>3.1600000000000003E-2</v>
      </c>
      <c r="H22" s="78">
        <v>7.0000000000000007E-2</v>
      </c>
      <c r="I22" s="78"/>
      <c r="J22" s="79"/>
      <c r="K22" s="78"/>
      <c r="L22" s="78"/>
      <c r="M22" s="78"/>
      <c r="N22" s="78">
        <v>0.02</v>
      </c>
      <c r="O22" s="78"/>
      <c r="P22" s="78"/>
      <c r="Q22" s="78"/>
      <c r="R22" s="78">
        <v>0.09</v>
      </c>
      <c r="S22" s="78"/>
      <c r="T22" s="78"/>
      <c r="U22" s="78"/>
      <c r="V22" s="78"/>
      <c r="W22" s="78"/>
      <c r="X22" s="78"/>
      <c r="Y22" s="78"/>
      <c r="Z22" s="78"/>
      <c r="AA22" s="78"/>
      <c r="AB22" s="78"/>
      <c r="AC22" s="78"/>
      <c r="AD22" s="78"/>
      <c r="AE22" s="78"/>
      <c r="AF22" s="78">
        <v>0.02</v>
      </c>
      <c r="AG22" s="78">
        <v>0.09</v>
      </c>
      <c r="AH22" s="78">
        <v>0.12</v>
      </c>
      <c r="AI22" s="78"/>
      <c r="AJ22" s="78"/>
      <c r="AK22" s="78"/>
      <c r="AL22" s="78"/>
      <c r="AM22" s="78"/>
      <c r="AN22" s="78"/>
      <c r="AO22" s="78"/>
      <c r="AP22" s="78"/>
      <c r="AQ22" s="78"/>
      <c r="AR22" s="78"/>
    </row>
    <row r="23" spans="1:44">
      <c r="A23" t="s">
        <v>36</v>
      </c>
      <c r="B23" s="183">
        <v>1.3000000000000001E-2</v>
      </c>
      <c r="C23" s="78">
        <f t="shared" si="0"/>
        <v>1</v>
      </c>
      <c r="D23" s="79">
        <v>0.08</v>
      </c>
      <c r="E23" s="79">
        <v>0.24</v>
      </c>
      <c r="F23" s="79">
        <v>6.3E-3</v>
      </c>
      <c r="G23" s="78">
        <v>2.3699999999999999E-2</v>
      </c>
      <c r="H23" s="78">
        <v>0.08</v>
      </c>
      <c r="I23" s="78"/>
      <c r="J23" s="79"/>
      <c r="K23" s="78"/>
      <c r="L23" s="78"/>
      <c r="M23" s="78"/>
      <c r="N23" s="78">
        <v>0.02</v>
      </c>
      <c r="O23" s="78"/>
      <c r="P23" s="78"/>
      <c r="Q23" s="78"/>
      <c r="R23" s="78">
        <v>0.02</v>
      </c>
      <c r="S23" s="78"/>
      <c r="T23" s="78"/>
      <c r="U23" s="78"/>
      <c r="V23" s="78"/>
      <c r="W23" s="78"/>
      <c r="X23" s="78"/>
      <c r="Y23" s="78"/>
      <c r="Z23" s="78"/>
      <c r="AA23" s="78"/>
      <c r="AB23" s="78"/>
      <c r="AC23" s="78"/>
      <c r="AD23" s="78"/>
      <c r="AE23" s="78">
        <v>0.22</v>
      </c>
      <c r="AF23" s="78">
        <v>0.01</v>
      </c>
      <c r="AG23" s="78">
        <v>0.05</v>
      </c>
      <c r="AH23" s="78"/>
      <c r="AI23" s="78"/>
      <c r="AJ23" s="78">
        <v>0.25</v>
      </c>
      <c r="AK23" s="78"/>
      <c r="AL23" s="78"/>
      <c r="AM23" s="78"/>
      <c r="AN23" s="78"/>
      <c r="AO23" s="78"/>
      <c r="AP23" s="78"/>
      <c r="AQ23" s="78"/>
      <c r="AR23" s="78"/>
    </row>
    <row r="24" spans="1:44">
      <c r="A24" t="s">
        <v>37</v>
      </c>
      <c r="B24" s="183">
        <v>0.02</v>
      </c>
      <c r="C24" s="78">
        <f t="shared" si="0"/>
        <v>1</v>
      </c>
      <c r="D24" s="79">
        <v>0.13</v>
      </c>
      <c r="E24" s="79">
        <v>0.62</v>
      </c>
      <c r="F24" s="79">
        <v>6.3E-3</v>
      </c>
      <c r="G24" s="78">
        <v>2.3699999999999999E-2</v>
      </c>
      <c r="H24" s="78">
        <v>0.09</v>
      </c>
      <c r="I24" s="78"/>
      <c r="J24" s="79"/>
      <c r="K24" s="78"/>
      <c r="L24" s="78"/>
      <c r="M24" s="78"/>
      <c r="N24" s="78"/>
      <c r="O24" s="78"/>
      <c r="P24" s="78"/>
      <c r="Q24" s="78"/>
      <c r="R24" s="78"/>
      <c r="S24" s="78"/>
      <c r="T24" s="78"/>
      <c r="U24" s="78"/>
      <c r="V24" s="78"/>
      <c r="W24" s="78"/>
      <c r="X24" s="78"/>
      <c r="Y24" s="78"/>
      <c r="Z24" s="78"/>
      <c r="AA24" s="78"/>
      <c r="AB24" s="78"/>
      <c r="AC24" s="78"/>
      <c r="AD24" s="78"/>
      <c r="AE24" s="78"/>
      <c r="AF24" s="78"/>
      <c r="AG24" s="78"/>
      <c r="AH24" s="78"/>
      <c r="AI24" s="78"/>
      <c r="AJ24" s="78">
        <v>0.13</v>
      </c>
      <c r="AK24" s="78"/>
      <c r="AL24" s="78"/>
      <c r="AM24" s="78"/>
      <c r="AN24" s="78"/>
      <c r="AO24" s="78"/>
      <c r="AP24" s="78"/>
      <c r="AQ24" s="78"/>
      <c r="AR24" s="78"/>
    </row>
    <row r="25" spans="1:44">
      <c r="A25" t="s">
        <v>38</v>
      </c>
      <c r="B25" s="183">
        <v>2.1999999999999999E-2</v>
      </c>
      <c r="C25" s="78">
        <f t="shared" si="0"/>
        <v>1</v>
      </c>
      <c r="D25" s="79">
        <v>0.08</v>
      </c>
      <c r="E25" s="79">
        <v>0.4</v>
      </c>
      <c r="F25" s="79"/>
      <c r="G25" s="78">
        <v>0.02</v>
      </c>
      <c r="H25" s="78">
        <v>0.02</v>
      </c>
      <c r="I25" s="78"/>
      <c r="J25" s="79">
        <v>0.16</v>
      </c>
      <c r="K25" s="78"/>
      <c r="L25" s="78"/>
      <c r="M25" s="78"/>
      <c r="N25" s="78"/>
      <c r="O25" s="78"/>
      <c r="P25" s="78"/>
      <c r="Q25" s="78"/>
      <c r="R25" s="78">
        <v>0.02</v>
      </c>
      <c r="S25" s="78"/>
      <c r="T25" s="78"/>
      <c r="U25" s="78"/>
      <c r="V25" s="78"/>
      <c r="W25" s="78"/>
      <c r="X25" s="78"/>
      <c r="Y25" s="78"/>
      <c r="Z25" s="78"/>
      <c r="AA25" s="78"/>
      <c r="AB25" s="78"/>
      <c r="AC25" s="78"/>
      <c r="AD25" s="78"/>
      <c r="AE25" s="78"/>
      <c r="AF25" s="78">
        <v>0.01</v>
      </c>
      <c r="AG25" s="78"/>
      <c r="AH25" s="78"/>
      <c r="AI25" s="78">
        <v>0.1</v>
      </c>
      <c r="AJ25" s="78"/>
      <c r="AK25" s="78">
        <v>0.19</v>
      </c>
      <c r="AL25" s="78"/>
      <c r="AM25" s="78"/>
      <c r="AN25" s="78"/>
      <c r="AO25" s="78"/>
      <c r="AP25" s="78"/>
      <c r="AQ25" s="78"/>
      <c r="AR25" s="78"/>
    </row>
    <row r="26" spans="1:44">
      <c r="A26" t="s">
        <v>271</v>
      </c>
      <c r="B26" s="180">
        <v>5.0000000000000001E-3</v>
      </c>
      <c r="C26" s="78">
        <f t="shared" si="0"/>
        <v>1</v>
      </c>
      <c r="D26" s="79">
        <v>0.11</v>
      </c>
      <c r="E26" s="79">
        <v>0.47</v>
      </c>
      <c r="F26" s="79">
        <v>0.01</v>
      </c>
      <c r="G26" s="78"/>
      <c r="H26" s="78">
        <v>0.01</v>
      </c>
      <c r="I26" s="78">
        <v>0.03</v>
      </c>
      <c r="J26" s="79"/>
      <c r="K26" s="78">
        <v>0.02</v>
      </c>
      <c r="L26" s="78"/>
      <c r="M26" s="78"/>
      <c r="N26" s="78"/>
      <c r="O26" s="78"/>
      <c r="P26" s="78"/>
      <c r="Q26" s="78"/>
      <c r="R26" s="78"/>
      <c r="S26" s="78"/>
      <c r="T26" s="78"/>
      <c r="U26" s="78"/>
      <c r="V26" s="78"/>
      <c r="W26" s="78"/>
      <c r="X26" s="78"/>
      <c r="Y26" s="78"/>
      <c r="Z26" s="78"/>
      <c r="AA26" s="78"/>
      <c r="AB26" s="78"/>
      <c r="AC26" s="78"/>
      <c r="AD26" s="78"/>
      <c r="AE26" s="78"/>
      <c r="AF26" s="78"/>
      <c r="AG26" s="78"/>
      <c r="AH26" s="78"/>
      <c r="AI26" s="78"/>
      <c r="AJ26" s="78"/>
      <c r="AK26" s="78"/>
      <c r="AL26" s="78">
        <v>0.02</v>
      </c>
      <c r="AM26" s="78">
        <v>0.02</v>
      </c>
      <c r="AN26" s="78">
        <v>0.31</v>
      </c>
      <c r="AO26" s="78"/>
      <c r="AP26" s="78"/>
      <c r="AQ26" s="78"/>
      <c r="AR26" s="78"/>
    </row>
    <row r="27" spans="1:44">
      <c r="A27" s="80" t="s">
        <v>272</v>
      </c>
      <c r="B27" s="180">
        <v>5.0000000000000001E-3</v>
      </c>
      <c r="C27" s="78">
        <f t="shared" ref="C27" si="2">SUM(D27:AR27)</f>
        <v>1</v>
      </c>
      <c r="D27" s="79">
        <v>0.16500000000000001</v>
      </c>
      <c r="E27" s="79">
        <v>0.7</v>
      </c>
      <c r="F27" s="79">
        <v>1.4999999999999999E-2</v>
      </c>
      <c r="G27" s="78"/>
      <c r="H27" s="78">
        <v>1.4999999999999999E-2</v>
      </c>
      <c r="I27" s="78">
        <v>4.4999999999999998E-2</v>
      </c>
      <c r="J27" s="79"/>
      <c r="K27" s="78">
        <v>0.03</v>
      </c>
      <c r="L27" s="78"/>
      <c r="M27" s="78"/>
      <c r="N27" s="78"/>
      <c r="O27" s="78"/>
      <c r="P27" s="78"/>
      <c r="Q27" s="78"/>
      <c r="R27" s="78"/>
      <c r="S27" s="78"/>
      <c r="T27" s="78"/>
      <c r="U27" s="78"/>
      <c r="V27" s="78"/>
      <c r="W27" s="78"/>
      <c r="X27" s="78"/>
      <c r="Y27" s="78"/>
      <c r="Z27" s="78"/>
      <c r="AA27" s="78"/>
      <c r="AB27" s="78"/>
      <c r="AC27" s="78"/>
      <c r="AD27" s="78"/>
      <c r="AE27" s="78"/>
      <c r="AF27" s="78"/>
      <c r="AG27" s="78"/>
      <c r="AH27" s="78"/>
      <c r="AI27" s="78"/>
      <c r="AJ27" s="78"/>
      <c r="AK27" s="78"/>
      <c r="AL27" s="78">
        <v>0.03</v>
      </c>
      <c r="AM27" s="78"/>
      <c r="AN27" s="78"/>
      <c r="AO27" s="78"/>
      <c r="AP27" s="78"/>
      <c r="AQ27" s="78"/>
      <c r="AR27" s="78"/>
    </row>
    <row r="29" spans="1:44">
      <c r="B29" s="180"/>
    </row>
  </sheetData>
  <sheetProtection algorithmName="SHA-512" hashValue="S1RPTWgKgrzMwDM0comySMcA3T5a/wm6OUMdiD4LsklZJMTRrrBT1nAfq+PuSPfV7EFA+8hQToyZz2OVvj60TQ==" saltValue="iC1uIasGVIA7TGdzizEwOw==" spinCount="100000" sheet="1" insertColumns="0" insertRows="0" insertHyperlinks="0" deleteColumns="0" deleteRows="0" sort="0" autoFilter="0"/>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0DB5E-390A-4799-A40A-436B5DF759B8}">
  <sheetPr codeName="Feuil16">
    <tabColor rgb="FF92D050"/>
  </sheetPr>
  <dimension ref="A1:T95"/>
  <sheetViews>
    <sheetView topLeftCell="A55" workbookViewId="0">
      <selection activeCell="K29" sqref="K29"/>
    </sheetView>
  </sheetViews>
  <sheetFormatPr baseColWidth="10" defaultRowHeight="15"/>
  <cols>
    <col min="11" max="11" width="13.5703125" customWidth="1"/>
    <col min="13" max="13" width="31.42578125" customWidth="1"/>
    <col min="17" max="17" width="23.140625" customWidth="1"/>
  </cols>
  <sheetData>
    <row r="1" spans="1:20">
      <c r="A1" t="s">
        <v>176</v>
      </c>
      <c r="C1" t="str">
        <f>'RESULTATS DEPUIS JANVIER'!B4</f>
        <v>TP02</v>
      </c>
    </row>
    <row r="2" spans="1:20">
      <c r="A2" t="s">
        <v>172</v>
      </c>
      <c r="C2" s="84">
        <f>SUM(INDEX(compo_index,MATCH(C1,'COMPOSITION INDEX'!A1:A26),2))</f>
        <v>0.09</v>
      </c>
    </row>
    <row r="4" spans="1:20">
      <c r="A4" t="str">
        <f>"Composition globale du "&amp;C1</f>
        <v>Composition globale du TP02</v>
      </c>
    </row>
    <row r="5" spans="1:20">
      <c r="A5" s="83" t="s">
        <v>164</v>
      </c>
      <c r="B5" s="83" t="s">
        <v>115</v>
      </c>
      <c r="C5" cm="1">
        <f t="array" ref="C5">SUM(IF((INDEX(compo_index,1,)=A5)*(INDEX(compo_index,,1)=C1),INDEX(compo_index,,),0))</f>
        <v>0.21</v>
      </c>
      <c r="G5" t="s">
        <v>47</v>
      </c>
      <c r="H5" t="s">
        <v>115</v>
      </c>
    </row>
    <row r="6" spans="1:20">
      <c r="A6" s="83" t="s">
        <v>165</v>
      </c>
      <c r="B6" s="83" t="s">
        <v>116</v>
      </c>
      <c r="C6" cm="1">
        <f t="array" ref="C6">SUM(IF((INDEX(compo_index,1,)=A6)*(INDEX(compo_index,,1)=C1),INDEX(compo_index,,),0))</f>
        <v>0.5</v>
      </c>
      <c r="G6" t="s">
        <v>48</v>
      </c>
      <c r="H6" t="s">
        <v>116</v>
      </c>
    </row>
    <row r="7" spans="1:20">
      <c r="A7" s="83" t="s">
        <v>166</v>
      </c>
      <c r="B7" s="83" t="s">
        <v>173</v>
      </c>
      <c r="C7" cm="1">
        <f t="array" ref="C7">SUM(IF((INDEX(compo_index,1,)=A7)*(INDEX(compo_index,,1)=C1),INDEX(compo_index,,),0))</f>
        <v>0.02</v>
      </c>
      <c r="G7" s="33" t="s">
        <v>317</v>
      </c>
      <c r="H7" t="s">
        <v>316</v>
      </c>
    </row>
    <row r="8" spans="1:20">
      <c r="A8" s="83" t="s">
        <v>169</v>
      </c>
      <c r="B8" s="83" t="s">
        <v>174</v>
      </c>
      <c r="C8" cm="1">
        <f t="array" ref="C8">SUM(IF((INDEX(compo_index,1,)=A8)*(INDEX(compo_index,,1)=C1),INDEX(compo_index,,),0))</f>
        <v>0.24</v>
      </c>
      <c r="G8" t="s">
        <v>50</v>
      </c>
      <c r="H8" t="s">
        <v>118</v>
      </c>
    </row>
    <row r="9" spans="1:20">
      <c r="A9" s="83" t="s">
        <v>167</v>
      </c>
      <c r="B9" s="83" t="s">
        <v>119</v>
      </c>
      <c r="C9" cm="1">
        <f t="array" ref="C9">SUM(IF((INDEX(compo_index,1,)=A9)*(INDEX(compo_index,,1)=C1),INDEX(compo_index,,),0))</f>
        <v>0.01</v>
      </c>
      <c r="G9" t="s">
        <v>51</v>
      </c>
      <c r="H9" t="s">
        <v>119</v>
      </c>
    </row>
    <row r="10" spans="1:20">
      <c r="A10" s="83" t="s">
        <v>168</v>
      </c>
      <c r="B10" s="83" t="s">
        <v>162</v>
      </c>
      <c r="C10" cm="1">
        <f t="array" ref="C10">SUM(IF((INDEX(compo_index,1,)=A10)*(INDEX(compo_index,,1)=C1),INDEX(compo_index,,),0))</f>
        <v>0.01</v>
      </c>
      <c r="G10" t="s">
        <v>52</v>
      </c>
      <c r="H10" t="s">
        <v>120</v>
      </c>
    </row>
    <row r="11" spans="1:20">
      <c r="A11" s="83" t="s">
        <v>170</v>
      </c>
      <c r="B11" s="83" t="s">
        <v>175</v>
      </c>
      <c r="C11" cm="1">
        <f t="array" ref="C11">SUM(IF((INDEX(compo_index,1,)=A11)*(INDEX(compo_index,,1)=C1),INDEX(compo_index,,),0))</f>
        <v>0.01</v>
      </c>
    </row>
    <row r="14" spans="1:20">
      <c r="B14" t="s">
        <v>19</v>
      </c>
      <c r="C14" t="str">
        <f>'RESULTATS DEPUIS JANVIER'!$B$4</f>
        <v>TP02</v>
      </c>
      <c r="D14" t="s">
        <v>115</v>
      </c>
      <c r="E14" s="83" t="s">
        <v>116</v>
      </c>
      <c r="F14" s="83" t="s">
        <v>316</v>
      </c>
      <c r="G14" s="83" t="str">
        <f>IF(OR(M15=E14,M15=D14),IF(OR(M16=E14, M16=D14),M17,M16),M15)</f>
        <v>Béton prêt à l'emploi</v>
      </c>
      <c r="H14" s="83" t="str">
        <f>IF(OR(M16=D14,M16=E14,M16=F14,M16=G14),IF(OR(M17=D14,M17=E14,M17=F14,M17=G14),IF(OR(M18=D14,M18=E14,M18=F14,M18=G14),IF(OR(M19=D14,M19=E14,M19=F14,M19=G14),M20,M19),M18),M17),M16)</f>
        <v>Barres crénelées ou nervurées pour béton armé</v>
      </c>
      <c r="L14" s="78" t="str">
        <f>C14</f>
        <v>TP02</v>
      </c>
    </row>
    <row r="15" spans="1:20">
      <c r="B15" s="78"/>
      <c r="D15" t="str">
        <f>HLOOKUP(D14,'COMPOSITION INDEX'!$A$2:$AR$3,2,FALSE)</f>
        <v>001711009</v>
      </c>
      <c r="E15">
        <f>HLOOKUP(E14,'COMPOSITION INDEX'!$A$2:$AR$3,2,FALSE)</f>
        <v>8308500</v>
      </c>
      <c r="F15" t="str">
        <f>HLOOKUP(F14,'COMPOSITION INDEX'!$A$2:$AR$3,2,FALSE)</f>
        <v>010777519</v>
      </c>
      <c r="G15" t="str">
        <f>HLOOKUP(G14,'COMPOSITION INDEX'!$A$2:$AR$3,2,FALSE)</f>
        <v>010534646</v>
      </c>
      <c r="H15" t="str">
        <f>HLOOKUP(H14,'COMPOSITION INDEX'!$A$2:$AR$3,2,FALSE)</f>
        <v>010546545</v>
      </c>
      <c r="K15" s="38" t="str" cm="1">
        <f t="array" ref="K15:K55">TRANSPOSE(INDEX('COMPOSITION INDEX'!D1:AR27,2,))</f>
        <v>Matériel</v>
      </c>
      <c r="L15" s="38" cm="1">
        <f t="array" ref="L15:L55">TRANSPOSE(INDEX('COMPOSITION INDEX'!D1:AR27,MATCH(L14,'COMPOSITION INDEX'!A1:A27,0),))</f>
        <v>0.21</v>
      </c>
      <c r="M15" t="str" cm="1">
        <f t="array" ref="M15:N55">_xlfn._xlws.SORT(K15:L55,2,-1)</f>
        <v>Travail</v>
      </c>
      <c r="N15">
        <v>0.5</v>
      </c>
      <c r="P15" t="s">
        <v>47</v>
      </c>
      <c r="Q15" t="str" cm="1">
        <f t="array" ref="Q15:S55">'DEPUIS JANVIER'!C45:E85</f>
        <v>Matériel</v>
      </c>
      <c r="R15" s="20">
        <v>1.5490258703289683E-2</v>
      </c>
      <c r="S15" s="20">
        <v>2.1526104417670666E-2</v>
      </c>
      <c r="T15" s="21"/>
    </row>
    <row r="16" spans="1:20">
      <c r="A16" s="1">
        <f>EDATE(DATE3,-35)</f>
        <v>45078</v>
      </c>
      <c r="B16" cm="1">
        <f t="array" ref="B16">IF(A16&lt;=DATE3,SUM(IF((INDEX(INDEX,,1)=A16)*(INDEX(INDEX,3,)="TP01"),INDEX(INDEX,,),0)),"")</f>
        <v>128.30000000000001</v>
      </c>
      <c r="C16" s="33" cm="1">
        <f t="array" ref="C16">IF(A16&lt;=DATE3,SUM(IF((INDEX(INDEX,,1)=A16)*(INDEX(INDEX,3,)=C14),INDEX(INDEX,,),0)),"")</f>
        <v>132.19999999999999</v>
      </c>
      <c r="D16" cm="1">
        <f t="array" ref="D16">IF($A16&lt;=DATE4,SUM(IF((INDEX(INDICES,,1)=$A16)*(INDEX(INDICES,5,)=D$14),INDEX(INDICES,,),0)),NA())</f>
        <v>122.3</v>
      </c>
      <c r="E16" cm="1">
        <f t="array" ref="E16">IF($A16&lt;=DATE4,SUM(IF((INDEX(INDICES,,1)=$A16)*(INDEX(INDICES,5,)=E$14),INDEX(INDICES,,),0)),NA())</f>
        <v>131.4</v>
      </c>
      <c r="F16" cm="1">
        <f t="array" ref="F16">IF($A16&lt;=DATE4,SUM(IF((INDEX(INDICES,,1)=$A16)*(INDEX(INDICES,5,)=F$14),INDEX(INDICES,,),0)),NA())</f>
        <v>124.3</v>
      </c>
      <c r="G16" cm="1">
        <f t="array" ref="G16">IF($A16&lt;=DATE4,SUM(IF((INDEX(INDICES,,1)=$A16)*(INDEX(INDICES,5,)=G$14),INDEX(INDICES,,),0)),NA())</f>
        <v>128.40759541267153</v>
      </c>
      <c r="H16" cm="1">
        <f t="array" ref="H16">IF($A16&lt;=DATE4,SUM(IF((INDEX(INDICES,,1)=$A16)*(INDEX(INDICES,5,)=H$14),INDEX(INDICES,,),0)),NA())</f>
        <v>93.542120445046208</v>
      </c>
      <c r="K16" t="str">
        <v>Travail</v>
      </c>
      <c r="L16" s="38">
        <v>0.5</v>
      </c>
      <c r="M16" t="str">
        <v>Matériel</v>
      </c>
      <c r="N16">
        <v>0.21</v>
      </c>
      <c r="P16">
        <v>103167938</v>
      </c>
      <c r="Q16" t="str">
        <v>Travail</v>
      </c>
      <c r="R16" s="20">
        <v>3.6595991867557354E-2</v>
      </c>
      <c r="S16" s="20">
        <v>7.3222071868891625E-2</v>
      </c>
      <c r="T16" s="21"/>
    </row>
    <row r="17" spans="1:20">
      <c r="A17" s="1">
        <f t="shared" ref="A17:A52" si="0">IF(A16&lt;DATE3,EDATE(A16,1),"")</f>
        <v>45108</v>
      </c>
      <c r="B17" cm="1">
        <f t="array" ref="B17">IF(A17&lt;=DATE3,SUM(IF((INDEX(INDEX,,1)=A17)*(INDEX(INDEX,3,)="TP01"),INDEX(INDEX,,),0)),"")</f>
        <v>128.6</v>
      </c>
      <c r="C17" s="33" cm="1">
        <f t="array" ref="C17">IF(A17&lt;=DATE3,SUM(IF((INDEX(INDEX,,1)=A17)*(INDEX(INDEX,3,)=C1),INDEX(INDEX,,),0)),"")</f>
        <v>131.1</v>
      </c>
      <c r="D17" cm="1">
        <f t="array" ref="D17">IF($A17&lt;=DATE4,SUM(IF((INDEX(INDICES,,1)=$A17)*(INDEX(INDICES,5,)=D$14),INDEX(INDICES,,),0)),NA())</f>
        <v>122.9</v>
      </c>
      <c r="E17" cm="1">
        <f t="array" ref="E17">IF($A17&lt;=DATE4,SUM(IF((INDEX(INDICES,,1)=$A17)*(INDEX(INDICES,5,)=E$14),INDEX(INDICES,,),0)),NA())</f>
        <v>131.5</v>
      </c>
      <c r="F17" cm="1">
        <f t="array" ref="F17">IF($A17&lt;=DATE4,SUM(IF((INDEX(INDICES,,1)=$A17)*(INDEX(INDICES,5,)=F$14),INDEX(INDICES,,),0)),NA())</f>
        <v>129.1</v>
      </c>
      <c r="G17" cm="1">
        <f t="array" ref="G17">IF($A17&lt;=DATE4,SUM(IF((INDEX(INDICES,,1)=$A17)*(INDEX(INDICES,5,)=G$14),INDEX(INDICES,,),0)),NA())</f>
        <v>126.90355329949237</v>
      </c>
      <c r="H17" cm="1">
        <f t="array" ref="H17">IF($A17&lt;=DATE4,SUM(IF((INDEX(INDICES,,1)=$A17)*(INDEX(INDICES,5,)=H$14),INDEX(INDICES,,),0)),NA())</f>
        <v>89.421322187555191</v>
      </c>
      <c r="K17" t="str">
        <v>GNR pour les Travaux Publics</v>
      </c>
      <c r="L17" s="38">
        <v>0.01</v>
      </c>
      <c r="M17" t="str">
        <v>Béton prêt à l'emploi</v>
      </c>
      <c r="N17">
        <v>0.12</v>
      </c>
      <c r="P17" t="s">
        <v>49</v>
      </c>
      <c r="Q17" t="str">
        <v>Travail activités spécialisées</v>
      </c>
      <c r="R17" s="20">
        <v>2.1311232795619084E-2</v>
      </c>
      <c r="S17" s="20">
        <v>4.7828727604008581E-2</v>
      </c>
      <c r="T17" s="21"/>
    </row>
    <row r="18" spans="1:20">
      <c r="A18" s="1">
        <f t="shared" si="0"/>
        <v>45139</v>
      </c>
      <c r="B18" cm="1">
        <f t="array" ref="B18">IF(A18&lt;=DATE3,SUM(IF((INDEX(INDEX,,1)=A18)*(INDEX(INDEX,3,)="TP01"),INDEX(INDEX,,),0)),"")</f>
        <v>129.19999999999999</v>
      </c>
      <c r="C18" s="33" cm="1">
        <f t="array" ref="C18">IF(A18&lt;=DATE3,SUM(IF((INDEX(INDEX,,1)=A18)*(INDEX(INDEX,3,)=C14),INDEX(INDEX,,),0)),"")</f>
        <v>131.5</v>
      </c>
      <c r="D18" cm="1">
        <f t="array" ref="D18">IF($A18&lt;=DATE4,SUM(IF((INDEX(INDICES,,1)=$A18)*(INDEX(INDICES,5,)=D$14),INDEX(INDICES,,),0)),NA())</f>
        <v>122.8</v>
      </c>
      <c r="E18" cm="1">
        <f t="array" ref="E18">IF($A18&lt;=DATE4,SUM(IF((INDEX(INDICES,,1)=$A18)*(INDEX(INDICES,5,)=E$14),INDEX(INDICES,,),0)),NA())</f>
        <v>131.6</v>
      </c>
      <c r="F18" cm="1">
        <f t="array" ref="F18">IF($A18&lt;=DATE4,SUM(IF((INDEX(INDICES,,1)=$A18)*(INDEX(INDICES,5,)=F$14),INDEX(INDICES,,),0)),NA())</f>
        <v>143.19999999999999</v>
      </c>
      <c r="G18" cm="1">
        <f t="array" ref="G18">IF($A18&lt;=DATE4,SUM(IF((INDEX(INDICES,,1)=$A18)*(INDEX(INDICES,5,)=G$14),INDEX(INDICES,,),0)),NA())</f>
        <v>129.44162436548223</v>
      </c>
      <c r="H18" cm="1">
        <f t="array" ref="H18">IF($A18&lt;=DATE4,SUM(IF((INDEX(INDICES,,1)=$A18)*(INDEX(INDICES,5,)=H$14),INDEX(INDICES,,),0)),NA())</f>
        <v>87.419791605345253</v>
      </c>
      <c r="K18" t="str">
        <v>Gazole</v>
      </c>
      <c r="L18" s="38">
        <v>0</v>
      </c>
      <c r="M18" t="str">
        <v>Barres crénelées ou nervurées pour béton armé</v>
      </c>
      <c r="N18">
        <v>0.1</v>
      </c>
      <c r="P18" s="33" t="s">
        <v>317</v>
      </c>
      <c r="Q18" t="str">
        <v>GNR pour les Travaux Publics</v>
      </c>
      <c r="R18" s="20">
        <v>0.33730051393021365</v>
      </c>
      <c r="S18" s="20">
        <v>0.33965587318791468</v>
      </c>
      <c r="T18" s="21"/>
    </row>
    <row r="19" spans="1:20">
      <c r="A19" s="1">
        <f t="shared" si="0"/>
        <v>45170</v>
      </c>
      <c r="B19" cm="1">
        <f t="array" ref="B19">IF(A19&lt;=DATE3,SUM(IF((INDEX(INDEX,,1)=A19)*(INDEX(INDEX,3,)="TP01"),INDEX(INDEX,,),0)),"")</f>
        <v>130.80000000000001</v>
      </c>
      <c r="C19" s="33" cm="1">
        <f t="array" ref="C19">IF(A19&lt;=DATE3,SUM(IF((INDEX(INDEX,,1)=A19)*(INDEX(INDEX,3,)=C14),INDEX(INDEX,,),0)),"")</f>
        <v>131.30000000000001</v>
      </c>
      <c r="D19" cm="1">
        <f t="array" ref="D19">IF($A19&lt;=DATE4,SUM(IF((INDEX(INDICES,,1)=$A19)*(INDEX(INDICES,5,)=D$14),INDEX(INDICES,,),0)),NA())</f>
        <v>123.5</v>
      </c>
      <c r="E19" cm="1">
        <f t="array" ref="E19">IF($A19&lt;=DATE4,SUM(IF((INDEX(INDICES,,1)=$A19)*(INDEX(INDICES,5,)=E$14),INDEX(INDICES,,),0)),NA())</f>
        <v>131.69999999999999</v>
      </c>
      <c r="F19" cm="1">
        <f t="array" ref="F19">IF($A19&lt;=DATE4,SUM(IF((INDEX(INDICES,,1)=$A19)*(INDEX(INDICES,5,)=F$14),INDEX(INDICES,,),0)),NA())</f>
        <v>151.1</v>
      </c>
      <c r="G19" cm="1">
        <f t="array" ref="G19">IF($A19&lt;=DATE4,SUM(IF((INDEX(INDICES,,1)=$A19)*(INDEX(INDICES,5,)=G$14),INDEX(INDICES,,),0)),NA())</f>
        <v>127.27956382778717</v>
      </c>
      <c r="H19" cm="1">
        <f t="array" ref="H19">IF($A19&lt;=DATE4,SUM(IF((INDEX(INDICES,,1)=$A19)*(INDEX(INDICES,5,)=H$14),INDEX(INDICES,,),0)),NA())</f>
        <v>86.360157767704706</v>
      </c>
      <c r="K19" t="str">
        <v>Frais divers</v>
      </c>
      <c r="L19" s="38">
        <v>0.01</v>
      </c>
      <c r="M19" t="str">
        <v>GNR pour les Travaux Publics</v>
      </c>
      <c r="N19">
        <v>0.01</v>
      </c>
      <c r="P19" t="s">
        <v>50</v>
      </c>
      <c r="Q19" t="str">
        <v>Gazole</v>
      </c>
      <c r="R19" s="20">
        <v>0.19374962748097646</v>
      </c>
      <c r="S19" s="20">
        <v>0.10588603401310426</v>
      </c>
      <c r="T19" s="21"/>
    </row>
    <row r="20" spans="1:20">
      <c r="A20" s="1">
        <f t="shared" si="0"/>
        <v>45200</v>
      </c>
      <c r="B20" cm="1">
        <f t="array" ref="B20">IF(A20&lt;=DATE3,SUM(IF((INDEX(INDEX,,1)=A20)*(INDEX(INDEX,3,)="TP01"),INDEX(INDEX,,),0)),"")</f>
        <v>130.69999999999999</v>
      </c>
      <c r="C20" s="33" cm="1">
        <f t="array" ref="C20">IF(A20&lt;=DATE3,SUM(IF((INDEX(INDEX,,1)=A20)*(INDEX(INDEX,3,)=C14),INDEX(INDEX,,),0)),"")</f>
        <v>131.6</v>
      </c>
      <c r="D20" cm="1">
        <f t="array" ref="D20">IF($A20&lt;=DATE4,SUM(IF((INDEX(INDICES,,1)=$A20)*(INDEX(INDICES,5,)=D$14),INDEX(INDICES,,),0)),NA())</f>
        <v>123.3</v>
      </c>
      <c r="E20" cm="1">
        <f t="array" ref="E20">IF($A20&lt;=DATE4,SUM(IF((INDEX(INDICES,,1)=$A20)*(INDEX(INDICES,5,)=E$14),INDEX(INDICES,,),0)),NA())</f>
        <v>131.9</v>
      </c>
      <c r="F20" cm="1">
        <f t="array" ref="F20">IF($A20&lt;=DATE4,SUM(IF((INDEX(INDICES,,1)=$A20)*(INDEX(INDICES,5,)=F$14),INDEX(INDICES,,),0)),NA())</f>
        <v>146.5</v>
      </c>
      <c r="G20" cm="1">
        <f t="array" ref="G20">IF($A20&lt;=DATE4,SUM(IF((INDEX(INDICES,,1)=$A20)*(INDEX(INDICES,5,)=G$14),INDEX(INDICES,,),0)),NA())</f>
        <v>128.50159804474524</v>
      </c>
      <c r="H20" cm="1">
        <f t="array" ref="H20">IF($A20&lt;=DATE4,SUM(IF((INDEX(INDICES,,1)=$A20)*(INDEX(INDICES,5,)=H$14),INDEX(INDICES,,),0)),NA())</f>
        <v>86.831106139989402</v>
      </c>
      <c r="K20" t="str">
        <v>Transports routiers</v>
      </c>
      <c r="L20" s="38">
        <v>0.01</v>
      </c>
      <c r="M20" t="str">
        <v>Frais divers</v>
      </c>
      <c r="N20">
        <v>0.01</v>
      </c>
      <c r="P20" t="s">
        <v>51</v>
      </c>
      <c r="Q20" t="str">
        <v>Frais divers</v>
      </c>
      <c r="R20" s="20">
        <v>9.6153846153845812E-3</v>
      </c>
      <c r="S20" s="20">
        <v>1.6992353440951513E-2</v>
      </c>
      <c r="T20" s="21"/>
    </row>
    <row r="21" spans="1:20">
      <c r="A21" s="1">
        <f t="shared" si="0"/>
        <v>45231</v>
      </c>
      <c r="B21" cm="1">
        <f t="array" ref="B21">IF(A21&lt;=DATE3,SUM(IF((INDEX(INDEX,,1)=A21)*(INDEX(INDEX,3,)="TP01"),INDEX(INDEX,,),0)),"")</f>
        <v>130.30000000000001</v>
      </c>
      <c r="C21" s="33" cm="1">
        <f t="array" ref="C21">IF(A21&lt;=DATE3,SUM(IF((INDEX(INDEX,,1)=A21)*(INDEX(INDEX,3,)=C14),INDEX(INDEX,,),0)),"")</f>
        <v>132.6</v>
      </c>
      <c r="D21" cm="1">
        <f t="array" ref="D21">IF($A21&lt;=DATE4,SUM(IF((INDEX(INDICES,,1)=$A21)*(INDEX(INDICES,5,)=D$14),INDEX(INDICES,,),0)),NA())</f>
        <v>123</v>
      </c>
      <c r="E21" cm="1">
        <f t="array" ref="E21">IF($A21&lt;=DATE4,SUM(IF((INDEX(INDICES,,1)=$A21)*(INDEX(INDICES,5,)=E$14),INDEX(INDICES,,),0)),NA())</f>
        <v>132.1</v>
      </c>
      <c r="F21" cm="1">
        <f t="array" ref="F21">IF($A21&lt;=DATE4,SUM(IF((INDEX(INDICES,,1)=$A21)*(INDEX(INDICES,5,)=F$14),INDEX(INDICES,,),0)),NA())</f>
        <v>139.4</v>
      </c>
      <c r="G21" cm="1">
        <f t="array" ref="G21">IF($A21&lt;=DATE4,SUM(IF((INDEX(INDICES,,1)=$A21)*(INDEX(INDICES,5,)=G$14),INDEX(INDICES,,),0)),NA())</f>
        <v>128.50159804474524</v>
      </c>
      <c r="H21" cm="1">
        <f t="array" ref="H21">IF($A21&lt;=DATE4,SUM(IF((INDEX(INDICES,,1)=$A21)*(INDEX(INDICES,5,)=H$14),INDEX(INDICES,,),0)),NA())</f>
        <v>88.3</v>
      </c>
      <c r="K21" t="str">
        <v>Travail activités spécialisées</v>
      </c>
      <c r="L21" s="38">
        <v>0</v>
      </c>
      <c r="M21" t="str">
        <v>Transports routiers</v>
      </c>
      <c r="N21">
        <v>0.01</v>
      </c>
      <c r="P21" t="s">
        <v>52</v>
      </c>
      <c r="Q21" t="str">
        <v>Transports routiers</v>
      </c>
      <c r="R21" s="20">
        <v>2.2526146419951765E-2</v>
      </c>
      <c r="S21" s="20">
        <v>2.6987718164188879E-2</v>
      </c>
      <c r="T21" s="21"/>
    </row>
    <row r="22" spans="1:20">
      <c r="A22" s="1">
        <f t="shared" si="0"/>
        <v>45261</v>
      </c>
      <c r="B22" cm="1">
        <f t="array" ref="B22">IF(A22&lt;=DATE3,SUM(IF((INDEX(INDEX,,1)=A22)*(INDEX(INDEX,3,)="TP01"),INDEX(INDEX,,),0)),"")</f>
        <v>129.6</v>
      </c>
      <c r="C22" s="33" cm="1">
        <f t="array" ref="C22">IF(A22&lt;=DATE3,SUM(IF((INDEX(INDEX,,1)=A22)*(INDEX(INDEX,3,)=C14),INDEX(INDEX,,),0)),"")</f>
        <v>133.69999999999999</v>
      </c>
      <c r="D22" cm="1">
        <f t="array" ref="D22">IF($A22&lt;=DATE4,SUM(IF((INDEX(INDICES,,1)=$A22)*(INDEX(INDICES,5,)=D$14),INDEX(INDICES,,),0)),NA())</f>
        <v>124.2</v>
      </c>
      <c r="E22" cm="1">
        <f t="array" ref="E22">IF($A22&lt;=DATE4,SUM(IF((INDEX(INDICES,,1)=$A22)*(INDEX(INDICES,5,)=E$14),INDEX(INDICES,,),0)),NA())</f>
        <v>132.30000000000001</v>
      </c>
      <c r="F22" cm="1">
        <f t="array" ref="F22">IF($A22&lt;=DATE4,SUM(IF((INDEX(INDICES,,1)=$A22)*(INDEX(INDICES,5,)=F$14),INDEX(INDICES,,),0)),NA())</f>
        <v>132</v>
      </c>
      <c r="G22" cm="1">
        <f t="array" ref="G22">IF($A22&lt;=DATE4,SUM(IF((INDEX(INDICES,,1)=$A22)*(INDEX(INDICES,5,)=G$14),INDEX(INDICES,,),0)),NA())</f>
        <v>128.6</v>
      </c>
      <c r="H22" cm="1">
        <f t="array" ref="H22">IF($A22&lt;=DATE4,SUM(IF((INDEX(INDICES,,1)=$A22)*(INDEX(INDICES,5,)=H$14),INDEX(INDICES,,),0)),NA())</f>
        <v>89.3</v>
      </c>
      <c r="K22" t="str">
        <v>Électricité vendue aux entreprises consommatrices finales</v>
      </c>
      <c r="L22" s="38">
        <v>0.01</v>
      </c>
      <c r="M22" t="str">
        <v>Électricité vendue aux entreprises consommatrices finales</v>
      </c>
      <c r="N22">
        <v>0.01</v>
      </c>
      <c r="P22">
        <v>10764291</v>
      </c>
      <c r="Q22" t="str">
        <v>Électricité vendue aux entreprises consommatrices finales</v>
      </c>
      <c r="R22" s="20">
        <v>-9.5969033635878054E-2</v>
      </c>
      <c r="S22" s="20">
        <v>-0.22972819288070045</v>
      </c>
      <c r="T22" s="21"/>
    </row>
    <row r="23" spans="1:20">
      <c r="A23" s="1">
        <f t="shared" si="0"/>
        <v>45292</v>
      </c>
      <c r="B23" cm="1">
        <f t="array" ref="B23">IF(A23&lt;=DATE3,SUM(IF((INDEX(INDEX,,1)=A23)*(INDEX(INDEX,3,)="TP01"),INDEX(INDEX,,),0)),"")</f>
        <v>129.6</v>
      </c>
      <c r="C23" s="33" cm="1">
        <f t="array" ref="C23">IF(A23&lt;=DATE3,SUM(IF((INDEX(INDEX,,1)=A23)*(INDEX(INDEX,3,)=C14),INDEX(INDEX,,),0)),"")</f>
        <v>134</v>
      </c>
      <c r="D23" cm="1">
        <f t="array" ref="D23">IF($A23&lt;=DATE4,SUM(IF((INDEX(INDICES,,1)=$A23)*(INDEX(INDICES,5,)=D$14),INDEX(INDICES,,),0)),NA())</f>
        <v>124</v>
      </c>
      <c r="E23" cm="1">
        <f t="array" ref="E23">IF($A23&lt;=DATE4,SUM(IF((INDEX(INDICES,,1)=$A23)*(INDEX(INDICES,5,)=E$14),INDEX(INDICES,,),0)),NA())</f>
        <v>132.5</v>
      </c>
      <c r="F23" cm="1">
        <f t="array" ref="F23">IF($A23&lt;=DATE4,SUM(IF((INDEX(INDICES,,1)=$A23)*(INDEX(INDICES,5,)=F$14),INDEX(INDICES,,),0)),NA())</f>
        <v>146.30000000000001</v>
      </c>
      <c r="G23" cm="1">
        <f t="array" ref="G23">IF($A23&lt;=DATE4,SUM(IF((INDEX(INDICES,,1)=$A23)*(INDEX(INDICES,5,)=G$14),INDEX(INDICES,,),0)),NA())</f>
        <v>129.19999999999999</v>
      </c>
      <c r="H23" cm="1">
        <f t="array" ref="H23">IF($A23&lt;=DATE4,SUM(IF((INDEX(INDICES,,1)=$A23)*(INDEX(INDICES,5,)=H$14),INDEX(INDICES,,),0)),NA())</f>
        <v>90.3</v>
      </c>
      <c r="K23" t="str">
        <v>Gaz naturel</v>
      </c>
      <c r="L23" s="38">
        <v>0</v>
      </c>
      <c r="M23" t="str">
        <v>Tubes, tuyaux en matière plastique</v>
      </c>
      <c r="N23">
        <v>0.01</v>
      </c>
      <c r="P23">
        <v>10764297</v>
      </c>
      <c r="Q23" t="str">
        <v>Gaz naturel</v>
      </c>
      <c r="R23" s="20">
        <v>-8.182865923933913E-2</v>
      </c>
      <c r="S23" s="20">
        <v>0.35257498585172642</v>
      </c>
      <c r="T23" s="21"/>
    </row>
    <row r="24" spans="1:20">
      <c r="A24" s="1">
        <f t="shared" si="0"/>
        <v>45323</v>
      </c>
      <c r="B24" cm="1">
        <f t="array" ref="B24">IF(A24&lt;=DATE3,SUM(IF((INDEX(INDEX,,1)=A24)*(INDEX(INDEX,3,)="TP01"),INDEX(INDEX,,),0)),"")</f>
        <v>129.9</v>
      </c>
      <c r="C24" s="33" cm="1">
        <f t="array" ref="C24">IF(A24&lt;=DATE3,SUM(IF((INDEX(INDEX,,1)=A24)*(INDEX(INDEX,3,)=C14),INDEX(INDEX,,),0)),"")</f>
        <v>133.6</v>
      </c>
      <c r="D24" cm="1">
        <f t="array" ref="D24">IF($A24&lt;=DATE4,SUM(IF((INDEX(INDICES,,1)=$A24)*(INDEX(INDICES,5,)=D$14),INDEX(INDICES,,),0)),NA())</f>
        <v>124.1</v>
      </c>
      <c r="E24" cm="1">
        <f t="array" ref="E24">IF($A24&lt;=DATE4,SUM(IF((INDEX(INDICES,,1)=$A24)*(INDEX(INDICES,5,)=E$14),INDEX(INDICES,,),0)),NA())</f>
        <v>132.69999999999999</v>
      </c>
      <c r="F24" cm="1">
        <f t="array" ref="F24">IF($A24&lt;=DATE4,SUM(IF((INDEX(INDICES,,1)=$A24)*(INDEX(INDICES,5,)=F$14),INDEX(INDICES,,),0)),NA())</f>
        <v>152.9</v>
      </c>
      <c r="G24" cm="1">
        <f t="array" ref="G24">IF($A24&lt;=DATE4,SUM(IF((INDEX(INDICES,,1)=$A24)*(INDEX(INDICES,5,)=G$14),INDEX(INDICES,,),0)),NA())</f>
        <v>130.4</v>
      </c>
      <c r="H24" cm="1">
        <f t="array" ref="H24">IF($A24&lt;=DATE4,SUM(IF((INDEX(INDICES,,1)=$A24)*(INDEX(INDICES,5,)=H$14),INDEX(INDICES,,),0)),NA())</f>
        <v>91.2</v>
      </c>
      <c r="K24" t="str">
        <v>Gazole routier HTT</v>
      </c>
      <c r="L24" s="38">
        <v>0</v>
      </c>
      <c r="M24" t="str">
        <v>Ensemble des produits du sciage</v>
      </c>
      <c r="N24">
        <v>0.01</v>
      </c>
      <c r="P24" t="s">
        <v>55</v>
      </c>
      <c r="Q24" t="str">
        <v>Gazole routier HTT</v>
      </c>
      <c r="R24" s="20">
        <v>0.35607335928372263</v>
      </c>
      <c r="S24" s="20">
        <v>0.17981630043018293</v>
      </c>
      <c r="T24" s="21"/>
    </row>
    <row r="25" spans="1:20">
      <c r="A25" s="1">
        <f t="shared" si="0"/>
        <v>45352</v>
      </c>
      <c r="B25" cm="1">
        <f t="array" ref="B25">IF(A25&lt;=DATE3,SUM(IF((INDEX(INDEX,,1)=A25)*(INDEX(INDEX,3,)="TP01"),INDEX(INDEX,,),0)),"")</f>
        <v>130.1</v>
      </c>
      <c r="C25" s="33" cm="1">
        <f t="array" ref="C25">IF(A25&lt;=DATE3,SUM(IF((INDEX(INDEX,,1)=A25)*(INDEX(INDEX,3,)=C14),INDEX(INDEX,,),0)),"")</f>
        <v>133.80000000000001</v>
      </c>
      <c r="D25" cm="1">
        <f t="array" ref="D25">IF($A25&lt;=DATE4,SUM(IF((INDEX(INDICES,,1)=$A25)*(INDEX(INDICES,5,)=D$14),INDEX(INDICES,,),0)),NA())</f>
        <v>124.5</v>
      </c>
      <c r="E25" cm="1">
        <f t="array" ref="E25">IF($A25&lt;=DATE4,SUM(IF((INDEX(INDICES,,1)=$A25)*(INDEX(INDICES,5,)=E$14),INDEX(INDICES,,),0)),NA())</f>
        <v>132.9</v>
      </c>
      <c r="F25" cm="1">
        <f t="array" ref="F25">IF($A25&lt;=DATE4,SUM(IF((INDEX(INDICES,,1)=$A25)*(INDEX(INDICES,5,)=F$14),INDEX(INDICES,,),0)),NA())</f>
        <v>149.80000000000001</v>
      </c>
      <c r="G25" cm="1">
        <f t="array" ref="G25">IF($A25&lt;=DATE4,SUM(IF((INDEX(INDICES,,1)=$A25)*(INDEX(INDICES,5,)=G$14),INDEX(INDICES,,),0)),NA())</f>
        <v>129.4</v>
      </c>
      <c r="H25" cm="1">
        <f t="array" ref="H25">IF($A25&lt;=DATE4,SUM(IF((INDEX(INDICES,,1)=$A25)*(INDEX(INDICES,5,)=H$14),INDEX(INDICES,,),0)),NA())</f>
        <v>90.7</v>
      </c>
      <c r="K25" t="str">
        <v>Tubes, tuyaux en matière plastique</v>
      </c>
      <c r="L25" s="38">
        <v>0.01</v>
      </c>
      <c r="M25" t="str">
        <v>Traitement et élimination des déchets non dangereux</v>
      </c>
      <c r="N25">
        <v>0.01</v>
      </c>
      <c r="P25">
        <v>10763845</v>
      </c>
      <c r="Q25" t="str">
        <v>Tubes, tuyaux en matière plastique</v>
      </c>
      <c r="R25" s="20">
        <v>4.6745562130177554E-2</v>
      </c>
      <c r="S25" s="20">
        <v>-3.7671877943101784E-4</v>
      </c>
      <c r="T25" s="21"/>
    </row>
    <row r="26" spans="1:20">
      <c r="A26" s="1">
        <f t="shared" si="0"/>
        <v>45383</v>
      </c>
      <c r="B26" cm="1">
        <f t="array" ref="B26">IF(A26&lt;=DATE3,SUM(IF((INDEX(INDEX,,1)=A26)*(INDEX(INDEX,3,)="TP01"),INDEX(INDEX,,),0)),"")</f>
        <v>130.30000000000001</v>
      </c>
      <c r="C26" s="33" cm="1">
        <f t="array" ref="C26">IF(A26&lt;=DATE3,SUM(IF((INDEX(INDEX,,1)=A26)*(INDEX(INDEX,3,)=C14),INDEX(INDEX,,),0)),"")</f>
        <v>133.4</v>
      </c>
      <c r="D26" cm="1">
        <f t="array" ref="D26">IF($A26&lt;=DATE4,SUM(IF((INDEX(INDICES,,1)=$A26)*(INDEX(INDICES,5,)=D$14),INDEX(INDICES,,),0)),NA())</f>
        <v>125</v>
      </c>
      <c r="E26" cm="1">
        <f t="array" ref="E26">IF($A26&lt;=DATE4,SUM(IF((INDEX(INDICES,,1)=$A26)*(INDEX(INDICES,5,)=E$14),INDEX(INDICES,,),0)),NA())</f>
        <v>133.30000000000001</v>
      </c>
      <c r="F26" cm="1">
        <f t="array" ref="F26">IF($A26&lt;=DATE4,SUM(IF((INDEX(INDICES,,1)=$A26)*(INDEX(INDICES,5,)=F$14),INDEX(INDICES,,),0)),NA())</f>
        <v>147.9</v>
      </c>
      <c r="G26" cm="1">
        <f t="array" ref="G26">IF($A26&lt;=DATE4,SUM(IF((INDEX(INDICES,,1)=$A26)*(INDEX(INDICES,5,)=G$14),INDEX(INDICES,,),0)),NA())</f>
        <v>129.69999999999999</v>
      </c>
      <c r="H26" cm="1">
        <f t="array" ref="H26">IF($A26&lt;=DATE4,SUM(IF((INDEX(INDICES,,1)=$A26)*(INDEX(INDICES,5,)=H$14),INDEX(INDICES,,),0)),NA())</f>
        <v>89.2</v>
      </c>
      <c r="K26" t="str">
        <v>Ensemble des produits du sciage</v>
      </c>
      <c r="L26" s="38">
        <v>0.01</v>
      </c>
      <c r="M26" t="str">
        <v>Gazole</v>
      </c>
      <c r="N26">
        <v>0</v>
      </c>
      <c r="P26" t="s">
        <v>283</v>
      </c>
      <c r="Q26" t="str">
        <v>Ensemble des produits du sciage</v>
      </c>
      <c r="R26" s="20">
        <v>2.7468581687612348E-2</v>
      </c>
      <c r="S26" s="20">
        <v>6.7524715538145985E-2</v>
      </c>
      <c r="T26" s="21"/>
    </row>
    <row r="27" spans="1:20">
      <c r="A27" s="1">
        <f t="shared" si="0"/>
        <v>45413</v>
      </c>
      <c r="B27" cm="1">
        <f t="array" ref="B27">IF(A27&lt;=DATE3,SUM(IF((INDEX(INDEX,,1)=A27)*(INDEX(INDEX,3,)="TP01"),INDEX(INDEX,,),0)),"")</f>
        <v>130.1</v>
      </c>
      <c r="C27" s="33" cm="1">
        <f t="array" ref="C27">IF(A27&lt;=DATE3,SUM(IF((INDEX(INDEX,,1)=A27)*(INDEX(INDEX,3,)=C14),INDEX(INDEX,,),0)),"")</f>
        <v>132.5</v>
      </c>
      <c r="D27" cm="1">
        <f t="array" ref="D27">IF($A27&lt;=DATE4,SUM(IF((INDEX(INDICES,,1)=$A27)*(INDEX(INDICES,5,)=D$14),INDEX(INDICES,,),0)),NA())</f>
        <v>124.9</v>
      </c>
      <c r="E27" cm="1">
        <f t="array" ref="E27">IF($A27&lt;=DATE4,SUM(IF((INDEX(INDICES,,1)=$A27)*(INDEX(INDICES,5,)=E$14),INDEX(INDICES,,),0)),NA())</f>
        <v>133.69999999999999</v>
      </c>
      <c r="F27" cm="1">
        <f t="array" ref="F27">IF($A27&lt;=DATE4,SUM(IF((INDEX(INDICES,,1)=$A27)*(INDEX(INDICES,5,)=F$14),INDEX(INDICES,,),0)),NA())</f>
        <v>141.19999999999999</v>
      </c>
      <c r="G27" cm="1">
        <f t="array" ref="G27">IF($A27&lt;=DATE4,SUM(IF((INDEX(INDICES,,1)=$A27)*(INDEX(INDICES,5,)=G$14),INDEX(INDICES,,),0)),NA())</f>
        <v>129</v>
      </c>
      <c r="H27" cm="1">
        <f t="array" ref="H27">IF($A27&lt;=DATE4,SUM(IF((INDEX(INDICES,,1)=$A27)*(INDEX(INDICES,5,)=H$14),INDEX(INDICES,,),0)),NA())</f>
        <v>89</v>
      </c>
      <c r="I27" s="32"/>
      <c r="K27" t="str">
        <v>Béton prêt à l'emploi</v>
      </c>
      <c r="L27" s="38">
        <v>0.12</v>
      </c>
      <c r="M27" t="str">
        <v>Travail activités spécialisées</v>
      </c>
      <c r="N27">
        <v>0</v>
      </c>
      <c r="P27">
        <v>10764180</v>
      </c>
      <c r="Q27" t="str">
        <v>Béton prêt à l'emploi</v>
      </c>
      <c r="R27" s="20">
        <v>3.0242859324881577E-2</v>
      </c>
      <c r="S27" s="20">
        <v>4.1377180793577217E-2</v>
      </c>
      <c r="T27" s="21"/>
    </row>
    <row r="28" spans="1:20">
      <c r="A28" s="1">
        <f t="shared" si="0"/>
        <v>45444</v>
      </c>
      <c r="B28" cm="1">
        <f t="array" ref="B28">IF(A28&lt;=DATE3,SUM(IF((INDEX(INDEX,,1)=A28)*(INDEX(INDEX,3,)="TP01"),INDEX(INDEX,,),0)),"")</f>
        <v>129.80000000000001</v>
      </c>
      <c r="C28" s="33" cm="1">
        <f t="array" ref="C28">IF(A28&lt;=DATE3,SUM(IF((INDEX(INDEX,,1)=A28)*(INDEX(INDEX,3,)=C14),INDEX(INDEX,,),0)),"")</f>
        <v>132.1</v>
      </c>
      <c r="D28" cm="1">
        <f t="array" ref="D28">IF($A28&lt;=DATE4,SUM(IF((INDEX(INDICES,,1)=$A28)*(INDEX(INDICES,5,)=D$14),INDEX(INDICES,,),0)),NA())</f>
        <v>125</v>
      </c>
      <c r="E28" cm="1">
        <f t="array" ref="E28">IF($A28&lt;=DATE4,SUM(IF((INDEX(INDICES,,1)=$A28)*(INDEX(INDICES,5,)=E$14),INDEX(INDICES,,),0)),NA())</f>
        <v>134</v>
      </c>
      <c r="F28" cm="1">
        <f t="array" ref="F28">IF($A28&lt;=DATE4,SUM(IF((INDEX(INDICES,,1)=$A28)*(INDEX(INDICES,5,)=F$14),INDEX(INDICES,,),0)),NA())</f>
        <v>142.19999999999999</v>
      </c>
      <c r="G28" cm="1">
        <f t="array" ref="G28">IF($A28&lt;=DATE4,SUM(IF((INDEX(INDICES,,1)=$A28)*(INDEX(INDICES,5,)=G$14),INDEX(INDICES,,),0)),NA())</f>
        <v>128.5</v>
      </c>
      <c r="H28" cm="1">
        <f t="array" ref="H28">IF($A28&lt;=DATE4,SUM(IF((INDEX(INDICES,,1)=$A28)*(INDEX(INDICES,5,)=H$14),INDEX(INDICES,,),0)),NA())</f>
        <v>88.3</v>
      </c>
      <c r="K28" t="str">
        <v>Barres crénelées ou nervurées pour béton armé</v>
      </c>
      <c r="L28" s="38">
        <v>0.1</v>
      </c>
      <c r="M28" t="str">
        <v>Gaz naturel</v>
      </c>
      <c r="N28">
        <v>0</v>
      </c>
      <c r="P28">
        <v>10766236</v>
      </c>
      <c r="Q28" t="str">
        <v>Barres crénelées ou nervurées pour béton armé</v>
      </c>
      <c r="R28" s="20">
        <v>1.0889292196007094E-2</v>
      </c>
      <c r="S28" s="20">
        <v>-1.0657193605683735E-2</v>
      </c>
      <c r="T28" s="21"/>
    </row>
    <row r="29" spans="1:20">
      <c r="A29" s="1">
        <f t="shared" si="0"/>
        <v>45474</v>
      </c>
      <c r="B29" cm="1">
        <f t="array" ref="B29">IF(A29&lt;=DATE3,SUM(IF((INDEX(INDEX,,1)=A29)*(INDEX(INDEX,3,)="TP01"),INDEX(INDEX,,),0)),"")</f>
        <v>129.9</v>
      </c>
      <c r="C29" s="33" cm="1">
        <f t="array" ref="C29">IF(A29&lt;=DATE3,SUM(IF((INDEX(INDEX,,1)=A29)*(INDEX(INDEX,3,)=C14),INDEX(INDEX,,),0)),"")</f>
        <v>132.30000000000001</v>
      </c>
      <c r="D29" cm="1">
        <f t="array" ref="D29">IF($A29&lt;=DATE4,SUM(IF((INDEX(INDICES,,1)=$A29)*(INDEX(INDICES,5,)=D$14),INDEX(INDICES,,),0)),NA())</f>
        <v>125</v>
      </c>
      <c r="E29" cm="1">
        <f t="array" ref="E29">IF($A29&lt;=DATE4,SUM(IF((INDEX(INDICES,,1)=$A29)*(INDEX(INDICES,5,)=E$14),INDEX(INDICES,,),0)),NA())</f>
        <v>134.6</v>
      </c>
      <c r="F29" cm="1">
        <f t="array" ref="F29">IF($A29&lt;=DATE4,SUM(IF((INDEX(INDICES,,1)=$A29)*(INDEX(INDICES,5,)=F$14),INDEX(INDICES,,),0)),NA())</f>
        <v>140</v>
      </c>
      <c r="G29" cm="1">
        <f t="array" ref="G29">IF($A29&lt;=DATE4,SUM(IF((INDEX(INDICES,,1)=$A29)*(INDEX(INDICES,5,)=G$14),INDEX(INDICES,,),0)),NA())</f>
        <v>128.6</v>
      </c>
      <c r="H29" cm="1">
        <f t="array" ref="H29">IF($A29&lt;=DATE4,SUM(IF((INDEX(INDICES,,1)=$A29)*(INDEX(INDICES,5,)=H$14),INDEX(INDICES,,),0)),NA())</f>
        <v>88.3</v>
      </c>
      <c r="K29" t="str">
        <v>Sables et granulats</v>
      </c>
      <c r="L29" s="38">
        <v>0</v>
      </c>
      <c r="M29" t="str">
        <v>Gazole routier HTT</v>
      </c>
      <c r="N29">
        <v>0</v>
      </c>
      <c r="P29" s="33" t="s">
        <v>319</v>
      </c>
      <c r="Q29" t="str">
        <v>Sables et granulats</v>
      </c>
      <c r="R29" s="20">
        <v>1.9557385486361101E-2</v>
      </c>
      <c r="S29" s="20">
        <v>1.2608621570965761E-2</v>
      </c>
      <c r="T29" s="21"/>
    </row>
    <row r="30" spans="1:20">
      <c r="A30" s="1">
        <f t="shared" si="0"/>
        <v>45505</v>
      </c>
      <c r="B30" cm="1">
        <f t="array" ref="B30">IF(A30&lt;=DATE3,SUM(IF((INDEX(INDEX,,1)=A30)*(INDEX(INDEX,3,)="TP01"),INDEX(INDEX,,),0)),"")</f>
        <v>130.1</v>
      </c>
      <c r="C30" s="33" cm="1">
        <f t="array" ref="C30">IF(A30&lt;=DATE3,SUM(IF((INDEX(INDEX,,1)=A30)*(INDEX(INDEX,3,)=C14),INDEX(INDEX,,),0)),"")</f>
        <v>132.80000000000001</v>
      </c>
      <c r="D30" cm="1">
        <f t="array" ref="D30">IF($A30&lt;=DATE4,SUM(IF((INDEX(INDICES,,1)=$A30)*(INDEX(INDICES,5,)=D$14),INDEX(INDICES,,),0)),NA())</f>
        <v>125.4</v>
      </c>
      <c r="E30" cm="1">
        <f t="array" ref="E30">IF($A30&lt;=DATE4,SUM(IF((INDEX(INDICES,,1)=$A30)*(INDEX(INDICES,5,)=E$14),INDEX(INDICES,,),0)),NA())</f>
        <v>135.1</v>
      </c>
      <c r="F30" cm="1">
        <f t="array" ref="F30">IF($A30&lt;=DATE4,SUM(IF((INDEX(INDICES,,1)=$A30)*(INDEX(INDICES,5,)=F$14),INDEX(INDICES,,),0)),NA())</f>
        <v>131.69999999999999</v>
      </c>
      <c r="G30" cm="1">
        <f t="array" ref="G30">IF($A30&lt;=DATE4,SUM(IF((INDEX(INDICES,,1)=$A30)*(INDEX(INDICES,5,)=G$14),INDEX(INDICES,,),0)),NA())</f>
        <v>129.19999999999999</v>
      </c>
      <c r="H30" cm="1">
        <f t="array" ref="H30">IF($A30&lt;=DATE4,SUM(IF((INDEX(INDICES,,1)=$A30)*(INDEX(INDICES,5,)=H$14),INDEX(INDICES,,),0)),NA())</f>
        <v>88.3</v>
      </c>
      <c r="K30" t="str">
        <v>Plaques, feuilles, tubes et profilés en matières plastiques</v>
      </c>
      <c r="L30" s="38">
        <v>0</v>
      </c>
      <c r="M30" t="str">
        <v>Sables et granulats</v>
      </c>
      <c r="N30">
        <v>0</v>
      </c>
      <c r="P30">
        <v>10764160</v>
      </c>
      <c r="Q30" t="str">
        <v>Plaques, feuilles, tubes et profilés en matières plastiques</v>
      </c>
      <c r="R30" s="20">
        <v>1.3226527570789903E-2</v>
      </c>
      <c r="S30" s="20">
        <v>1.7776946107784575E-2</v>
      </c>
      <c r="T30" s="21"/>
    </row>
    <row r="31" spans="1:20">
      <c r="A31" s="1">
        <f t="shared" si="0"/>
        <v>45536</v>
      </c>
      <c r="B31" cm="1">
        <f t="array" ref="B31">IF(A31&lt;=DATE3,SUM(IF((INDEX(INDEX,,1)=A31)*(INDEX(INDEX,3,)="TP01"),INDEX(INDEX,,),0)),"")</f>
        <v>129.1</v>
      </c>
      <c r="C31" s="33" cm="1">
        <f t="array" ref="C31">IF(A31&lt;=DATE3,SUM(IF((INDEX(INDEX,,1)=A31)*(INDEX(INDEX,3,)=C14),INDEX(INDEX,,),0)),"")</f>
        <v>133</v>
      </c>
      <c r="D31" cm="1">
        <f t="array" ref="D31">IF($A31&lt;=DATE4,SUM(IF((INDEX(INDICES,,1)=$A31)*(INDEX(INDICES,5,)=D$14),INDEX(INDICES,,),0)),NA())</f>
        <v>125.3</v>
      </c>
      <c r="E31" cm="1">
        <f t="array" ref="E31">IF($A31&lt;=DATE4,SUM(IF((INDEX(INDICES,,1)=$A31)*(INDEX(INDICES,5,)=E$14),INDEX(INDICES,,),0)),NA())</f>
        <v>135.69999999999999</v>
      </c>
      <c r="F31" cm="1">
        <f t="array" ref="F31">IF($A31&lt;=DATE4,SUM(IF((INDEX(INDICES,,1)=$A31)*(INDEX(INDICES,5,)=F$14),INDEX(INDICES,,),0)),NA())</f>
        <v>129.1</v>
      </c>
      <c r="G31" cm="1">
        <f t="array" ref="G31">IF($A31&lt;=DATE4,SUM(IF((INDEX(INDICES,,1)=$A31)*(INDEX(INDICES,5,)=G$14),INDEX(INDICES,,),0)),NA())</f>
        <v>128.1</v>
      </c>
      <c r="H31" cm="1">
        <f t="array" ref="H31">IF($A31&lt;=DATE4,SUM(IF((INDEX(INDICES,,1)=$A31)*(INDEX(INDICES,5,)=H$14),INDEX(INDICES,,),0)),NA())</f>
        <v>89.1</v>
      </c>
      <c r="K31" t="str">
        <v>Ciment, chaux et plâtre</v>
      </c>
      <c r="L31" s="38">
        <v>0</v>
      </c>
      <c r="M31" t="str">
        <v>Plaques, feuilles, tubes et profilés en matières plastiques</v>
      </c>
      <c r="N31">
        <v>0</v>
      </c>
      <c r="P31">
        <v>10764176</v>
      </c>
      <c r="Q31" t="str">
        <v>Ciment, chaux et plâtre</v>
      </c>
      <c r="R31" s="20">
        <v>2.6470991633520624E-2</v>
      </c>
      <c r="S31" s="20">
        <v>3.7427224840587803E-2</v>
      </c>
      <c r="T31" s="21"/>
    </row>
    <row r="32" spans="1:20">
      <c r="A32" s="1">
        <f t="shared" si="0"/>
        <v>45566</v>
      </c>
      <c r="B32" cm="1">
        <f t="array" ref="B32">IF(A32&lt;=DATE3,SUM(IF((INDEX(INDEX,,1)=A32)*(INDEX(INDEX,3,)="TP01"),INDEX(INDEX,,),0)),"")</f>
        <v>128.80000000000001</v>
      </c>
      <c r="C32" s="33" cm="1">
        <f t="array" ref="C32">IF(A32&lt;=DATE3,SUM(IF((INDEX(INDEX,,1)=A32)*(INDEX(INDEX,3,)=C14),INDEX(INDEX,,),0)),"")</f>
        <v>133.1</v>
      </c>
      <c r="D32" cm="1">
        <f t="array" ref="D32">IF($A32&lt;=DATE4,SUM(IF((INDEX(INDICES,,1)=$A32)*(INDEX(INDICES,5,)=D$14),INDEX(INDICES,,),0)),NA())</f>
        <v>125</v>
      </c>
      <c r="E32" cm="1">
        <f t="array" ref="E32">IF($A32&lt;=DATE4,SUM(IF((INDEX(INDICES,,1)=$A32)*(INDEX(INDICES,5,)=E$14),INDEX(INDICES,,),0)),NA())</f>
        <v>136.1</v>
      </c>
      <c r="F32" cm="1">
        <f t="array" ref="F32">IF($A32&lt;=DATE4,SUM(IF((INDEX(INDICES,,1)=$A32)*(INDEX(INDICES,5,)=F$14),INDEX(INDICES,,),0)),NA())</f>
        <v>132.19999999999999</v>
      </c>
      <c r="G32" cm="1">
        <f t="array" ref="G32">IF($A32&lt;=DATE4,SUM(IF((INDEX(INDICES,,1)=$A32)*(INDEX(INDICES,5,)=G$14),INDEX(INDICES,,),0)),NA())</f>
        <v>128.19999999999999</v>
      </c>
      <c r="H32" cm="1">
        <f t="array" ref="H32">IF($A32&lt;=DATE4,SUM(IF((INDEX(INDICES,,1)=$A32)*(INDEX(INDICES,5,)=H$14),INDEX(INDICES,,),0)),NA())</f>
        <v>86.4</v>
      </c>
      <c r="K32" t="str">
        <v>Autres produits chimiques</v>
      </c>
      <c r="L32" s="38">
        <v>0</v>
      </c>
      <c r="M32" t="str">
        <v>Ciment, chaux et plâtre</v>
      </c>
      <c r="N32">
        <v>0</v>
      </c>
      <c r="P32" s="168">
        <v>10764149</v>
      </c>
      <c r="Q32" t="str">
        <v>Autres produits chimiques</v>
      </c>
      <c r="R32" s="20">
        <v>-9.5602294455069403E-3</v>
      </c>
      <c r="S32" s="20">
        <v>4.8775998527517128E-2</v>
      </c>
      <c r="T32" s="21"/>
    </row>
    <row r="33" spans="1:20">
      <c r="A33" s="1">
        <f t="shared" si="0"/>
        <v>45597</v>
      </c>
      <c r="B33" cm="1">
        <f t="array" ref="B33">IF(A33&lt;=DATE3,SUM(IF((INDEX(INDEX,,1)=A33)*(INDEX(INDEX,3,)="TP01"),INDEX(INDEX,,),0)),"")</f>
        <v>130.19999999999999</v>
      </c>
      <c r="C33" s="33" cm="1">
        <f t="array" ref="C33">IF(A33&lt;=DATE3,SUM(IF((INDEX(INDEX,,1)=A33)*(INDEX(INDEX,3,)=C14),INDEX(INDEX,,),0)),"")</f>
        <v>133.6</v>
      </c>
      <c r="D33" cm="1">
        <f t="array" ref="D33">IF($A33&lt;=DATE4,SUM(IF((INDEX(INDICES,,1)=$A33)*(INDEX(INDICES,5,)=D$14),INDEX(INDICES,,),0)),NA())</f>
        <v>124.8</v>
      </c>
      <c r="E33" cm="1">
        <f t="array" ref="E33">IF($A33&lt;=DATE4,SUM(IF((INDEX(INDICES,,1)=$A33)*(INDEX(INDICES,5,)=E$14),INDEX(INDICES,,),0)),NA())</f>
        <v>136.5</v>
      </c>
      <c r="F33" cm="1">
        <f t="array" ref="F33">IF($A33&lt;=DATE4,SUM(IF((INDEX(INDICES,,1)=$A33)*(INDEX(INDICES,5,)=F$14),INDEX(INDICES,,),0)),NA())</f>
        <v>133.80000000000001</v>
      </c>
      <c r="G33" cm="1">
        <f t="array" ref="G33">IF($A33&lt;=DATE4,SUM(IF((INDEX(INDICES,,1)=$A33)*(INDEX(INDICES,5,)=G$14),INDEX(INDICES,,),0)),NA())</f>
        <v>127.7</v>
      </c>
      <c r="H33" cm="1">
        <f t="array" ref="H33">IF($A33&lt;=DATE4,SUM(IF((INDEX(INDICES,,1)=$A33)*(INDEX(INDICES,5,)=H$14),INDEX(INDICES,,),0)),NA())</f>
        <v>85.7</v>
      </c>
      <c r="K33" t="str">
        <v>Acier pour la construction</v>
      </c>
      <c r="L33" s="38">
        <v>0</v>
      </c>
      <c r="M33" t="str">
        <v>Autres produits chimiques</v>
      </c>
      <c r="N33">
        <v>0</v>
      </c>
      <c r="P33">
        <v>10765837</v>
      </c>
      <c r="Q33" t="str">
        <v>Acier pour la construction</v>
      </c>
      <c r="R33" s="20">
        <v>-8.4911822338340492E-3</v>
      </c>
      <c r="S33" s="20">
        <v>-2.7546444586803331E-2</v>
      </c>
      <c r="T33" s="21"/>
    </row>
    <row r="34" spans="1:20">
      <c r="A34" s="1">
        <f t="shared" si="0"/>
        <v>45627</v>
      </c>
      <c r="B34" cm="1">
        <f t="array" ref="B34">IF(A34&lt;=DATE3,SUM(IF((INDEX(INDEX,,1)=A34)*(INDEX(INDEX,3,)="TP01"),INDEX(INDEX,,),0)),"")</f>
        <v>130.6</v>
      </c>
      <c r="C34" s="33" cm="1">
        <f t="array" ref="C34">IF(A34&lt;=DATE3,SUM(IF((INDEX(INDEX,,1)=A34)*(INDEX(INDEX,3,)=C14),INDEX(INDEX,,),0)),"")</f>
        <v>134.19999999999999</v>
      </c>
      <c r="D34" cm="1">
        <f t="array" ref="D34">IF($A34&lt;=DATE4,SUM(IF((INDEX(INDICES,,1)=$A34)*(INDEX(INDICES,5,)=D$14),INDEX(INDICES,,),0)),NA())</f>
        <v>124.9</v>
      </c>
      <c r="E34" cm="1">
        <f t="array" ref="E34">IF($A34&lt;=DATE4,SUM(IF((INDEX(INDICES,,1)=$A34)*(INDEX(INDICES,5,)=E$14),INDEX(INDICES,,),0)),NA())</f>
        <v>136.9</v>
      </c>
      <c r="F34" cm="1">
        <f t="array" ref="F34">IF($A34&lt;=DATE4,SUM(IF((INDEX(INDICES,,1)=$A34)*(INDEX(INDICES,5,)=F$14),INDEX(INDICES,,),0)),NA())</f>
        <v>135.5</v>
      </c>
      <c r="G34" cm="1">
        <f t="array" ref="G34">IF($A34&lt;=DATE4,SUM(IF((INDEX(INDICES,,1)=$A34)*(INDEX(INDICES,5,)=G$14),INDEX(INDICES,,),0)),NA())</f>
        <v>128.1</v>
      </c>
      <c r="H34" cm="1">
        <f t="array" ref="H34">IF($A34&lt;=DATE4,SUM(IF((INDEX(INDICES,,1)=$A34)*(INDEX(INDICES,5,)=H$14),INDEX(INDICES,,),0)),NA())</f>
        <v>85.8</v>
      </c>
      <c r="K34" t="str">
        <v>Bitume</v>
      </c>
      <c r="L34" s="38">
        <v>0</v>
      </c>
      <c r="M34" t="str">
        <v>Acier pour la construction</v>
      </c>
      <c r="N34">
        <v>0</v>
      </c>
      <c r="P34">
        <v>10764136</v>
      </c>
      <c r="Q34" t="str">
        <v>Bitume</v>
      </c>
      <c r="R34" s="20">
        <v>-3.4975132360019368E-2</v>
      </c>
      <c r="S34" s="20">
        <v>-4.1390728476821126E-3</v>
      </c>
      <c r="T34" s="21"/>
    </row>
    <row r="35" spans="1:20">
      <c r="A35" s="1">
        <f t="shared" si="0"/>
        <v>45658</v>
      </c>
      <c r="B35" cm="1">
        <f t="array" ref="B35">IF(A35&lt;=DATE3,SUM(IF((INDEX(INDEX,,1)=A35)*(INDEX(INDEX,3,)="TP01"),INDEX(INDEX,,),0)),"")</f>
        <v>131.9</v>
      </c>
      <c r="C35" s="33" cm="1">
        <f t="array" ref="C35">IF(A35&lt;=DATE3,SUM(IF((INDEX(INDEX,,1)=A35)*(INDEX(INDEX,3,)=C14),INDEX(INDEX,,),0)),"")</f>
        <v>135.1</v>
      </c>
      <c r="D35" cm="1">
        <f t="array" ref="D35">IF($A35&lt;=DATE4,SUM(IF((INDEX(INDICES,,1)=$A35)*(INDEX(INDICES,5,)=D$14),INDEX(INDICES,,),0)),NA())</f>
        <v>124.3</v>
      </c>
      <c r="E35" cm="1">
        <f t="array" ref="E35">IF($A35&lt;=DATE4,SUM(IF((INDEX(INDICES,,1)=$A35)*(INDEX(INDICES,5,)=E$14),INDEX(INDICES,,),0)),NA())</f>
        <v>137.19999999999999</v>
      </c>
      <c r="F35" cm="1">
        <f t="array" ref="F35">IF($A35&lt;=DATE4,SUM(IF((INDEX(INDICES,,1)=$A35)*(INDEX(INDICES,5,)=F$14),INDEX(INDICES,,),0)),NA())</f>
        <v>157.1</v>
      </c>
      <c r="G35" cm="1">
        <f t="array" ref="G35">IF($A35&lt;=DATE4,SUM(IF((INDEX(INDICES,,1)=$A35)*(INDEX(INDICES,5,)=G$14),INDEX(INDICES,,),0)),NA())</f>
        <v>131.19999999999999</v>
      </c>
      <c r="H35" cm="1">
        <f t="array" ref="H35">IF($A35&lt;=DATE4,SUM(IF((INDEX(INDICES,,1)=$A35)*(INDEX(INDICES,5,)=H$14),INDEX(INDICES,,),0)),NA())</f>
        <v>86.3</v>
      </c>
      <c r="K35" t="str">
        <v>Produits de voierie en béton</v>
      </c>
      <c r="L35" s="38">
        <v>0</v>
      </c>
      <c r="M35" t="str">
        <v>Bitume</v>
      </c>
      <c r="N35">
        <v>0</v>
      </c>
      <c r="P35">
        <v>10763871</v>
      </c>
      <c r="Q35" t="str">
        <v>Produits de voierie en béton</v>
      </c>
      <c r="R35" s="20">
        <v>-3.1928084314941318E-2</v>
      </c>
      <c r="S35" s="20">
        <v>-2.710280373831786E-2</v>
      </c>
      <c r="T35" s="21"/>
    </row>
    <row r="36" spans="1:20">
      <c r="A36" s="1">
        <f t="shared" si="0"/>
        <v>45689</v>
      </c>
      <c r="B36" cm="1">
        <f t="array" ref="B36">IF(A36&lt;=DATE3,SUM(IF((INDEX(INDEX,,1)=A36)*(INDEX(INDEX,3,)="TP01"),INDEX(INDEX,,),0)),"")</f>
        <v>132.19999999999999</v>
      </c>
      <c r="C36" s="33" cm="1">
        <f t="array" ref="C36">IF(A36&lt;=DATE3,SUM(IF((INDEX(INDEX,,1)=A36)*(INDEX(INDEX,3,)=C14),INDEX(INDEX,,),0)),"")</f>
        <v>135</v>
      </c>
      <c r="D36" cm="1">
        <f t="array" ref="D36">IF($A36&lt;=DATE4,SUM(IF((INDEX(INDICES,,1)=$A36)*(INDEX(INDICES,5,)=D$14),INDEX(INDICES,,),0)),NA())</f>
        <v>124.8</v>
      </c>
      <c r="E36" cm="1">
        <f t="array" ref="E36">IF($A36&lt;=DATE4,SUM(IF((INDEX(INDICES,,1)=$A36)*(INDEX(INDICES,5,)=E$14),INDEX(INDICES,,),0)),NA())</f>
        <v>137.4</v>
      </c>
      <c r="F36" cm="1">
        <f t="array" ref="F36">IF($A36&lt;=DATE4,SUM(IF((INDEX(INDICES,,1)=$A36)*(INDEX(INDICES,5,)=F$14),INDEX(INDICES,,),0)),NA())</f>
        <v>155.6</v>
      </c>
      <c r="G36" cm="1">
        <f t="array" ref="G36">IF($A36&lt;=DATE4,SUM(IF((INDEX(INDICES,,1)=$A36)*(INDEX(INDICES,5,)=G$14),INDEX(INDICES,,),0)),NA())</f>
        <v>130.19999999999999</v>
      </c>
      <c r="H36" cm="1">
        <f t="array" ref="H36">IF($A36&lt;=DATE4,SUM(IF((INDEX(INDICES,,1)=$A36)*(INDEX(INDICES,5,)=H$14),INDEX(INDICES,,),0)),NA())</f>
        <v>87.5</v>
      </c>
      <c r="K36" t="str">
        <v>Mortiers et bétons secs</v>
      </c>
      <c r="L36" s="38">
        <v>0</v>
      </c>
      <c r="M36" t="str">
        <v>Produits de voierie en béton</v>
      </c>
      <c r="N36">
        <v>0</v>
      </c>
      <c r="P36">
        <v>10764181</v>
      </c>
      <c r="Q36" t="str">
        <v>Mortiers et bétons secs</v>
      </c>
      <c r="R36" s="20">
        <v>8.8803761100468837E-3</v>
      </c>
      <c r="S36" s="20">
        <v>3.4530386740350139E-4</v>
      </c>
      <c r="T36" s="21"/>
    </row>
    <row r="37" spans="1:20">
      <c r="A37" s="1">
        <f t="shared" si="0"/>
        <v>45717</v>
      </c>
      <c r="B37" cm="1">
        <f t="array" ref="B37">IF(A37&lt;=DATE3,SUM(IF((INDEX(INDEX,,1)=A37)*(INDEX(INDEX,3,)="TP01"),INDEX(INDEX,,),0)),"")</f>
        <v>131.69999999999999</v>
      </c>
      <c r="C37" s="33" cm="1">
        <f t="array" ref="C37">IF(A37&lt;=DATE3,SUM(IF((INDEX(INDEX,,1)=A37)*(INDEX(INDEX,3,)=C14),INDEX(INDEX,,),0)),"")</f>
        <v>135</v>
      </c>
      <c r="D37" cm="1">
        <f t="array" ref="D37">IF($A37&lt;=DATE4,SUM(IF((INDEX(INDICES,,1)=$A37)*(INDEX(INDICES,5,)=D$14),INDEX(INDICES,,),0)),NA())</f>
        <v>124.5</v>
      </c>
      <c r="E37" cm="1">
        <f t="array" ref="E37">IF($A37&lt;=DATE4,SUM(IF((INDEX(INDICES,,1)=$A37)*(INDEX(INDICES,5,)=E$14),INDEX(INDICES,,),0)),NA())</f>
        <v>137.6</v>
      </c>
      <c r="F37" cm="1">
        <f t="array" ref="F37">IF($A37&lt;=DATE4,SUM(IF((INDEX(INDICES,,1)=$A37)*(INDEX(INDICES,5,)=F$14),INDEX(INDICES,,),0)),NA())</f>
        <v>145.69999999999999</v>
      </c>
      <c r="G37" cm="1">
        <f t="array" ref="G37">IF($A37&lt;=DATE4,SUM(IF((INDEX(INDICES,,1)=$A37)*(INDEX(INDICES,5,)=G$14),INDEX(INDICES,,),0)),NA())</f>
        <v>130.1</v>
      </c>
      <c r="H37" cm="1">
        <f t="array" ref="H37">IF($A37&lt;=DATE4,SUM(IF((INDEX(INDICES,,1)=$A37)*(INDEX(INDICES,5,)=H$14),INDEX(INDICES,,),0)),NA())</f>
        <v>88.3</v>
      </c>
      <c r="K37" t="str">
        <v>Travaux de fonderie de fonte</v>
      </c>
      <c r="L37" s="38">
        <v>0</v>
      </c>
      <c r="M37" t="str">
        <v>Mortiers et bétons secs</v>
      </c>
      <c r="N37">
        <v>0</v>
      </c>
      <c r="P37">
        <v>10764195</v>
      </c>
      <c r="Q37" t="str">
        <v>Travaux de fonderie de fonte</v>
      </c>
      <c r="R37" s="20">
        <v>7.1284673795133369E-3</v>
      </c>
      <c r="S37" s="20">
        <v>1.4517639712769537E-2</v>
      </c>
      <c r="T37" s="21"/>
    </row>
    <row r="38" spans="1:20">
      <c r="A38" s="1">
        <f t="shared" si="0"/>
        <v>45748</v>
      </c>
      <c r="B38" cm="1">
        <f t="array" ref="B38">IF(A38&lt;=DATE3,SUM(IF((INDEX(INDEX,,1)=A38)*(INDEX(INDEX,3,)="TP01"),INDEX(INDEX,,),0)),"")</f>
        <v>131.4</v>
      </c>
      <c r="C38" s="33" cm="1">
        <f t="array" ref="C38">IF(A38&lt;=DATE3,SUM(IF((INDEX(INDEX,,1)=A38)*(INDEX(INDEX,3,)=C14),INDEX(INDEX,,),0)),"")</f>
        <v>135.5</v>
      </c>
      <c r="D38" cm="1">
        <f t="array" ref="D38">IF($A38&lt;=DATE4,SUM(IF((INDEX(INDICES,,1)=$A38)*(INDEX(INDICES,5,)=D$14),INDEX(INDICES,,),0)),NA())</f>
        <v>126.2</v>
      </c>
      <c r="E38" cm="1">
        <f t="array" ref="E38">IF($A38&lt;=DATE4,SUM(IF((INDEX(INDICES,,1)=$A38)*(INDEX(INDICES,5,)=E$14),INDEX(INDICES,,),0)),NA())</f>
        <v>138</v>
      </c>
      <c r="F38" cm="1">
        <f t="array" ref="F38">IF($A38&lt;=DATE4,SUM(IF((INDEX(INDICES,,1)=$A38)*(INDEX(INDICES,5,)=F$14),INDEX(INDICES,,),0)),NA())</f>
        <v>141</v>
      </c>
      <c r="G38" cm="1">
        <f t="array" ref="G38">IF($A38&lt;=DATE4,SUM(IF((INDEX(INDICES,,1)=$A38)*(INDEX(INDICES,5,)=G$14),INDEX(INDICES,,),0)),NA())</f>
        <v>131.5</v>
      </c>
      <c r="H38" cm="1">
        <f t="array" ref="H38">IF($A38&lt;=DATE4,SUM(IF((INDEX(INDICES,,1)=$A38)*(INDEX(INDICES,5,)=H$14),INDEX(INDICES,,),0)),NA())</f>
        <v>89.1</v>
      </c>
      <c r="K38" t="str">
        <v>Tuiles, briques et produits de construction en terre cuite</v>
      </c>
      <c r="L38" s="38">
        <v>0</v>
      </c>
      <c r="M38" t="str">
        <v>Travaux de fonderie de fonte</v>
      </c>
      <c r="N38">
        <v>0</v>
      </c>
      <c r="P38">
        <v>10764172</v>
      </c>
      <c r="Q38" t="str">
        <v>Tuiles, briques et produits de construction en terre cuite</v>
      </c>
      <c r="R38" s="20">
        <v>8.314220183486265E-3</v>
      </c>
      <c r="S38" s="20">
        <v>1.6033511483460661E-2</v>
      </c>
      <c r="T38" s="21"/>
    </row>
    <row r="39" spans="1:20">
      <c r="A39" s="1">
        <f t="shared" si="0"/>
        <v>45778</v>
      </c>
      <c r="B39" cm="1">
        <f t="array" ref="B39">IF(A39&lt;=DATE3,SUM(IF((INDEX(INDEX,,1)=A39)*(INDEX(INDEX,3,)="TP01"),INDEX(INDEX,,),0)),"")</f>
        <v>130.69999999999999</v>
      </c>
      <c r="C39" s="33" cm="1">
        <f t="array" ref="C39">IF(A39&lt;=DATE3,SUM(IF((INDEX(INDEX,,1)=A39)*(INDEX(INDEX,3,)=C14),INDEX(INDEX,,),0)),"")</f>
        <v>135.30000000000001</v>
      </c>
      <c r="D39" cm="1">
        <f t="array" ref="D39">IF($A39&lt;=DATE4,SUM(IF((INDEX(INDICES,,1)=$A39)*(INDEX(INDICES,5,)=D$14),INDEX(INDICES,,),0)),NA())</f>
        <v>126.4</v>
      </c>
      <c r="E39" cm="1">
        <f t="array" ref="E39">IF($A39&lt;=DATE4,SUM(IF((INDEX(INDICES,,1)=$A39)*(INDEX(INDICES,5,)=E$14),INDEX(INDICES,,),0)),NA())</f>
        <v>138.4</v>
      </c>
      <c r="F39" cm="1">
        <f t="array" ref="F39">IF($A39&lt;=DATE4,SUM(IF((INDEX(INDICES,,1)=$A39)*(INDEX(INDICES,5,)=F$14),INDEX(INDICES,,),0)),NA())</f>
        <v>140</v>
      </c>
      <c r="G39" cm="1">
        <f t="array" ref="G39">IF($A39&lt;=DATE4,SUM(IF((INDEX(INDICES,,1)=$A39)*(INDEX(INDICES,5,)=G$14),INDEX(INDICES,,),0)),NA())</f>
        <v>131.69999999999999</v>
      </c>
      <c r="H39" cm="1">
        <f t="array" ref="H39">IF($A39&lt;=DATE4,SUM(IF((INDEX(INDICES,,1)=$A39)*(INDEX(INDICES,5,)=H$14),INDEX(INDICES,,),0)),NA())</f>
        <v>89.6</v>
      </c>
      <c r="K39" t="str">
        <v>Réseaux d’assainissement</v>
      </c>
      <c r="L39" s="38">
        <v>0</v>
      </c>
      <c r="M39" t="str">
        <v>Tuiles, briques et produits de construction en terre cuite</v>
      </c>
      <c r="N39">
        <v>0</v>
      </c>
      <c r="P39">
        <v>10766292</v>
      </c>
      <c r="Q39" t="str">
        <v>Réseaux d’assainissement</v>
      </c>
      <c r="R39" s="20">
        <v>1.552795031055898E-2</v>
      </c>
      <c r="S39" s="20">
        <v>1.3639181649101051E-2</v>
      </c>
      <c r="T39" s="21"/>
    </row>
    <row r="40" spans="1:20">
      <c r="A40" s="1">
        <f t="shared" si="0"/>
        <v>45809</v>
      </c>
      <c r="B40" cm="1">
        <f t="array" ref="B40">IF(A40&lt;=DATE3,SUM(IF((INDEX(INDEX,,1)=A40)*(INDEX(INDEX,3,)="TP01"),INDEX(INDEX,,),0)),"")</f>
        <v>130.5</v>
      </c>
      <c r="C40" s="33" cm="1">
        <f t="array" ref="C40">IF(A40&lt;=DATE3,SUM(IF((INDEX(INDEX,,1)=A40)*(INDEX(INDEX,3,)=C14),INDEX(INDEX,,),0)),"")</f>
        <v>135</v>
      </c>
      <c r="D40" cm="1">
        <f t="array" ref="D40">IF($A40&lt;=DATE4,SUM(IF((INDEX(INDICES,,1)=$A40)*(INDEX(INDICES,5,)=D$14),INDEX(INDICES,,),0)),NA())</f>
        <v>126</v>
      </c>
      <c r="E40" cm="1">
        <f t="array" ref="E40">IF($A40&lt;=DATE4,SUM(IF((INDEX(INDICES,,1)=$A40)*(INDEX(INDICES,5,)=E$14),INDEX(INDICES,,),0)),NA())</f>
        <v>138.69999999999999</v>
      </c>
      <c r="F40" cm="1">
        <f t="array" ref="F40">IF($A40&lt;=DATE4,SUM(IF((INDEX(INDICES,,1)=$A40)*(INDEX(INDICES,5,)=F$14),INDEX(INDICES,,),0)),NA())</f>
        <v>143.9</v>
      </c>
      <c r="G40" cm="1">
        <f t="array" ref="G40">IF($A40&lt;=DATE4,SUM(IF((INDEX(INDICES,,1)=$A40)*(INDEX(INDICES,5,)=G$14),INDEX(INDICES,,),0)),NA())</f>
        <v>130.69999999999999</v>
      </c>
      <c r="H40" cm="1">
        <f t="array" ref="H40">IF($A40&lt;=DATE4,SUM(IF((INDEX(INDICES,,1)=$A40)*(INDEX(INDICES,5,)=H$14),INDEX(INDICES,,),0)),NA())</f>
        <v>89.4</v>
      </c>
      <c r="K40" t="str">
        <v>Autres textiles</v>
      </c>
      <c r="L40" s="38">
        <v>0</v>
      </c>
      <c r="M40" t="str">
        <v>Réseaux d’assainissement</v>
      </c>
      <c r="N40">
        <v>0</v>
      </c>
      <c r="P40">
        <v>10764101</v>
      </c>
      <c r="Q40" t="str">
        <v>Autres textiles</v>
      </c>
      <c r="R40" s="20">
        <v>2.6507276507276467E-2</v>
      </c>
      <c r="S40" s="20">
        <v>4.8858204992034082E-2</v>
      </c>
      <c r="T40" s="21"/>
    </row>
    <row r="41" spans="1:20">
      <c r="A41" s="1">
        <f t="shared" si="0"/>
        <v>45839</v>
      </c>
      <c r="B41" cm="1">
        <f t="array" ref="B41">IF(A41&lt;=DATE3,SUM(IF((INDEX(INDEX,,1)=A41)*(INDEX(INDEX,3,)="TP01"),INDEX(INDEX,,),0)),"")</f>
        <v>131</v>
      </c>
      <c r="C41" s="33" cm="1">
        <f t="array" ref="C41">IF(A41&lt;=DATE3,SUM(IF((INDEX(INDEX,,1)=A41)*(INDEX(INDEX,3,)=C14),INDEX(INDEX,,),0)),"")</f>
        <v>135.19999999999999</v>
      </c>
      <c r="D41" cm="1">
        <f t="array" ref="D41">IF($A41&lt;=DATE4,SUM(IF((INDEX(INDICES,,1)=$A41)*(INDEX(INDICES,5,)=D$14),INDEX(INDICES,,),0)),NA())</f>
        <v>125.5</v>
      </c>
      <c r="E41" cm="1">
        <f t="array" ref="E41">IF($A41&lt;=DATE4,SUM(IF((INDEX(INDICES,,1)=$A41)*(INDEX(INDICES,5,)=E$14),INDEX(INDICES,,),0)),NA())</f>
        <v>139</v>
      </c>
      <c r="F41" cm="1">
        <f t="array" ref="F41">IF($A41&lt;=DATE4,SUM(IF((INDEX(INDICES,,1)=$A41)*(INDEX(INDICES,5,)=F$14),INDEX(INDICES,,),0)),NA())</f>
        <v>147.30000000000001</v>
      </c>
      <c r="G41" cm="1">
        <f t="array" ref="G41">IF($A41&lt;=DATE4,SUM(IF((INDEX(INDICES,,1)=$A41)*(INDEX(INDICES,5,)=G$14),INDEX(INDICES,,),0)),NA())</f>
        <v>131.30000000000001</v>
      </c>
      <c r="H41" cm="1">
        <f t="array" ref="H41">IF($A41&lt;=DATE4,SUM(IF((INDEX(INDICES,,1)=$A41)*(INDEX(INDICES,5,)=H$14),INDEX(INDICES,,),0)),NA())</f>
        <v>88.6</v>
      </c>
      <c r="K41" t="str">
        <v>Matières plastiques sous formes primaires</v>
      </c>
      <c r="L41" s="38">
        <v>0</v>
      </c>
      <c r="M41" t="str">
        <v>Autres textiles</v>
      </c>
      <c r="N41">
        <v>0</v>
      </c>
      <c r="P41">
        <v>10764143</v>
      </c>
      <c r="Q41" t="str">
        <v>Matières plastiques sous formes primaires</v>
      </c>
      <c r="R41" s="20">
        <v>6.1597281223449318E-2</v>
      </c>
      <c r="S41" s="20">
        <v>4.3859649122806932E-2</v>
      </c>
      <c r="T41" s="21"/>
    </row>
    <row r="42" spans="1:20">
      <c r="A42" s="1">
        <f t="shared" si="0"/>
        <v>45870</v>
      </c>
      <c r="B42" cm="1">
        <f t="array" ref="B42">IF(A42&lt;=DATE3,SUM(IF((INDEX(INDEX,,1)=A42)*(INDEX(INDEX,3,)="TP01"),INDEX(INDEX,,),0)),"")</f>
        <v>131.4</v>
      </c>
      <c r="C42" s="33" cm="1">
        <f t="array" ref="C42">IF(A42&lt;=DATE3,SUM(IF((INDEX(INDEX,,1)=A42)*(INDEX(INDEX,3,)=C14),INDEX(INDEX,,),0)),"")</f>
        <v>136.1</v>
      </c>
      <c r="D42" cm="1">
        <f t="array" ref="D42">IF($A42&lt;=DATE4,SUM(IF((INDEX(INDICES,,1)=$A42)*(INDEX(INDICES,5,)=D$14),INDEX(INDICES,,),0)),NA())</f>
        <v>128.4</v>
      </c>
      <c r="E42" cm="1">
        <f t="array" ref="E42">IF($A42&lt;=DATE4,SUM(IF((INDEX(INDICES,,1)=$A42)*(INDEX(INDICES,5,)=E$14),INDEX(INDICES,,),0)),NA())</f>
        <v>139.30000000000001</v>
      </c>
      <c r="F42" cm="1">
        <f t="array" ref="F42">IF($A42&lt;=DATE4,SUM(IF((INDEX(INDICES,,1)=$A42)*(INDEX(INDICES,5,)=F$14),INDEX(INDICES,,),0)),NA())</f>
        <v>143.30000000000001</v>
      </c>
      <c r="G42" cm="1">
        <f t="array" ref="G42">IF($A42&lt;=DATE4,SUM(IF((INDEX(INDICES,,1)=$A42)*(INDEX(INDICES,5,)=G$14),INDEX(INDICES,,),0)),NA())</f>
        <v>132.69999999999999</v>
      </c>
      <c r="H42" cm="1">
        <f t="array" ref="H42">IF($A42&lt;=DATE4,SUM(IF((INDEX(INDICES,,1)=$A42)*(INDEX(INDICES,5,)=H$14),INDEX(INDICES,,),0)),NA())</f>
        <v>87.8</v>
      </c>
      <c r="K42" t="str">
        <v>Tubes, tuyaux, profilés creux et accessoires correspondants en acier</v>
      </c>
      <c r="L42" s="38">
        <v>0</v>
      </c>
      <c r="M42" t="str">
        <v>Matières plastiques sous formes primaires</v>
      </c>
      <c r="N42">
        <v>0</v>
      </c>
      <c r="P42">
        <v>10764187</v>
      </c>
      <c r="Q42" t="str">
        <v>Tubes, tuyaux, profilés creux et accessoires correspondants en acier</v>
      </c>
      <c r="R42" s="20">
        <v>3.149736147757265E-2</v>
      </c>
      <c r="S42" s="20">
        <v>1.6012810248198228E-3</v>
      </c>
      <c r="T42" s="21"/>
    </row>
    <row r="43" spans="1:20">
      <c r="A43" s="1">
        <f t="shared" si="0"/>
        <v>45901</v>
      </c>
      <c r="B43" cm="1">
        <f t="array" ref="B43">IF(A43&lt;=DATE3,SUM(IF((INDEX(INDEX,,1)=A43)*(INDEX(INDEX,3,)="TP01"),INDEX(INDEX,,),0)),"")</f>
        <v>130.69999999999999</v>
      </c>
      <c r="C43" s="33" cm="1">
        <f t="array" ref="C43">IF(A43&lt;=DATE3,SUM(IF((INDEX(INDEX,,1)=A43)*(INDEX(INDEX,3,)=C14),INDEX(INDEX,,),0)),"")</f>
        <v>135.69999999999999</v>
      </c>
      <c r="D43" cm="1">
        <f t="array" ref="D43">IF($A43&lt;=DATE4,SUM(IF((INDEX(INDICES,,1)=$A43)*(INDEX(INDICES,5,)=D$14),INDEX(INDICES,,),0)),NA())</f>
        <v>126.8</v>
      </c>
      <c r="E43" cm="1">
        <f t="array" ref="E43">IF($A43&lt;=DATE4,SUM(IF((INDEX(INDICES,,1)=$A43)*(INDEX(INDICES,5,)=E$14),INDEX(INDICES,,),0)),NA())</f>
        <v>139.69999999999999</v>
      </c>
      <c r="F43" cm="1">
        <f t="array" ref="F43">IF($A43&lt;=DATE4,SUM(IF((INDEX(INDICES,,1)=$A43)*(INDEX(INDICES,5,)=F$14),INDEX(INDICES,,),0)),NA())</f>
        <v>145.1</v>
      </c>
      <c r="G43" cm="1">
        <f t="array" ref="G43">IF($A43&lt;=DATE4,SUM(IF((INDEX(INDICES,,1)=$A43)*(INDEX(INDICES,5,)=G$14),INDEX(INDICES,,),0)),NA())</f>
        <v>131.30000000000001</v>
      </c>
      <c r="H43" cm="1">
        <f t="array" ref="H43">IF($A43&lt;=DATE4,SUM(IF((INDEX(INDICES,,1)=$A43)*(INDEX(INDICES,5,)=H$14),INDEX(INDICES,,),0)),NA())</f>
        <v>87.7</v>
      </c>
      <c r="K43" t="str">
        <v>Éléments en béton pour la construction</v>
      </c>
      <c r="L43" s="38">
        <v>0</v>
      </c>
      <c r="M43" t="str">
        <v>Tubes, tuyaux, profilés creux et accessoires correspondants en acier</v>
      </c>
      <c r="N43">
        <v>0</v>
      </c>
      <c r="P43">
        <v>10764179</v>
      </c>
      <c r="Q43" t="str">
        <v>Éléments en béton pour la construction</v>
      </c>
      <c r="R43" s="20">
        <v>-8.4331253162417408E-4</v>
      </c>
      <c r="S43" s="20">
        <v>-3.0600556373752363E-2</v>
      </c>
      <c r="T43" s="21"/>
    </row>
    <row r="44" spans="1:20">
      <c r="A44" s="1">
        <f t="shared" si="0"/>
        <v>45931</v>
      </c>
      <c r="B44" cm="1">
        <f t="array" ref="B44">IF(A44&lt;=DATE3,SUM(IF((INDEX(INDEX,,1)=A44)*(INDEX(INDEX,3,)="TP01"),INDEX(INDEX,,),0)),"")</f>
        <v>130.5</v>
      </c>
      <c r="C44" s="33" cm="1">
        <f t="array" ref="C44">IF(A44&lt;=DATE3,SUM(IF((INDEX(INDEX,,1)=A44)*(INDEX(INDEX,3,)=C14),INDEX(INDEX,,),0)),"")</f>
        <v>135.69999999999999</v>
      </c>
      <c r="D44" cm="1">
        <f t="array" ref="D44">IF($A44&lt;=DATE4,SUM(IF((INDEX(INDICES,,1)=$A44)*(INDEX(INDICES,5,)=D$14),INDEX(INDICES,,),0)),NA())</f>
        <v>126.7</v>
      </c>
      <c r="E44" cm="1">
        <f t="array" ref="E44">IF($A44&lt;=DATE4,SUM(IF((INDEX(INDICES,,1)=$A44)*(INDEX(INDICES,5,)=E$14),INDEX(INDICES,,),0)),NA())</f>
        <v>140.4</v>
      </c>
      <c r="F44" cm="1">
        <f t="array" ref="F44">IF($A44&lt;=DATE4,SUM(IF((INDEX(INDICES,,1)=$A44)*(INDEX(INDICES,5,)=F$14),INDEX(INDICES,,),0)),NA())</f>
        <v>143.4</v>
      </c>
      <c r="G44" cm="1">
        <f t="array" ref="G44">IF($A44&lt;=DATE4,SUM(IF((INDEX(INDICES,,1)=$A44)*(INDEX(INDICES,5,)=G$14),INDEX(INDICES,,),0)),NA())</f>
        <v>131.69999999999999</v>
      </c>
      <c r="H44" cm="1">
        <f t="array" ref="H44">IF($A44&lt;=DATE4,SUM(IF((INDEX(INDICES,,1)=$A44)*(INDEX(INDICES,5,)=H$14),INDEX(INDICES,,),0)),NA())</f>
        <v>86.4</v>
      </c>
      <c r="K44" t="str">
        <v>Fils et câbles d'énergie</v>
      </c>
      <c r="L44" s="38">
        <v>0</v>
      </c>
      <c r="M44" t="str">
        <v>Éléments en béton pour la construction</v>
      </c>
      <c r="N44">
        <v>0</v>
      </c>
      <c r="P44">
        <v>10763930</v>
      </c>
      <c r="Q44" t="str">
        <v>Fils et câbles d'énergie</v>
      </c>
      <c r="R44" s="20">
        <v>7.8446785096682792E-2</v>
      </c>
      <c r="S44" s="20">
        <v>0.14048212801330018</v>
      </c>
      <c r="T44" s="21"/>
    </row>
    <row r="45" spans="1:20">
      <c r="A45" s="1">
        <f t="shared" si="0"/>
        <v>45962</v>
      </c>
      <c r="B45" cm="1">
        <f t="array" ref="B45">IF(A45&lt;=DATE3,SUM(IF((INDEX(INDEX,,1)=A45)*(INDEX(INDEX,3,)="TP01"),INDEX(INDEX,,),0)),"")</f>
        <v>130.80000000000001</v>
      </c>
      <c r="C45" s="33" cm="1">
        <f t="array" ref="C45">IF(A45&lt;=DATE3,SUM(IF((INDEX(INDEX,,1)=A45)*(INDEX(INDEX,3,)=C14),INDEX(INDEX,,),0)),"")</f>
        <v>135.80000000000001</v>
      </c>
      <c r="D45" cm="1">
        <f t="array" ref="D45">IF($A45&lt;=DATE4,SUM(IF((INDEX(INDICES,,1)=$A45)*(INDEX(INDICES,5,)=D$14),INDEX(INDICES,,),0)),NA())</f>
        <v>126.2</v>
      </c>
      <c r="E45" cm="1">
        <f t="array" ref="E45">IF($A45&lt;=DATE4,SUM(IF((INDEX(INDICES,,1)=$A45)*(INDEX(INDICES,5,)=E$14),INDEX(INDICES,,),0)),NA())</f>
        <v>141.1</v>
      </c>
      <c r="F45" cm="1">
        <f t="array" ref="F45">IF($A45&lt;=DATE4,SUM(IF((INDEX(INDICES,,1)=$A45)*(INDEX(INDICES,5,)=F$14),INDEX(INDICES,,),0)),NA())</f>
        <v>149.6</v>
      </c>
      <c r="G45" cm="1">
        <f t="array" ref="G45">IF($A45&lt;=DATE4,SUM(IF((INDEX(INDICES,,1)=$A45)*(INDEX(INDICES,5,)=G$14),INDEX(INDICES,,),0)),NA())</f>
        <v>131.6</v>
      </c>
      <c r="H45" cm="1">
        <f t="array" ref="H45">IF($A45&lt;=DATE4,SUM(IF((INDEX(INDICES,,1)=$A45)*(INDEX(INDICES,5,)=H$14),INDEX(INDICES,,),0)),NA())</f>
        <v>85.7</v>
      </c>
      <c r="K45" t="str">
        <v>Moteurs, génératrices, transfo. électr., matér. distrib., cmde électr.</v>
      </c>
      <c r="L45" s="38">
        <v>0</v>
      </c>
      <c r="M45" t="str">
        <v>Fils et câbles d'énergie</v>
      </c>
      <c r="N45">
        <v>0</v>
      </c>
      <c r="P45">
        <v>10764223</v>
      </c>
      <c r="Q45" t="str">
        <v>Moteurs, génératrices, transfo. électr., matér. distrib., cmde électr.</v>
      </c>
      <c r="R45" s="20">
        <v>0.10969170499063186</v>
      </c>
      <c r="S45" s="20">
        <v>0.11711248285322351</v>
      </c>
      <c r="T45" s="21"/>
    </row>
    <row r="46" spans="1:20">
      <c r="A46" s="1">
        <f t="shared" si="0"/>
        <v>45992</v>
      </c>
      <c r="B46" cm="1">
        <f t="array" ref="B46">IF(A46&lt;=DATE3,SUM(IF((INDEX(INDEX,,1)=A46)*(INDEX(INDEX,3,)="TP01"),INDEX(INDEX,,),0)),"")</f>
        <v>130.30000000000001</v>
      </c>
      <c r="C46" s="33" cm="1">
        <f t="array" ref="C46">IF(A46&lt;=DATE3,SUM(IF((INDEX(INDEX,,1)=A46)*(INDEX(INDEX,3,)=C14),INDEX(INDEX,,),0)),"")</f>
        <v>136.1</v>
      </c>
      <c r="D46" cm="1">
        <f t="array" ref="D46">IF($A46&lt;=DATE4,SUM(IF((INDEX(INDICES,,1)=$A46)*(INDEX(INDICES,5,)=D$14),INDEX(INDICES,,),0)),NA())</f>
        <v>125.5</v>
      </c>
      <c r="E46" cm="1">
        <f t="array" ref="E46">IF($A46&lt;=DATE4,SUM(IF((INDEX(INDICES,,1)=$A46)*(INDEX(INDICES,5,)=E$14),INDEX(INDICES,,),0)),NA())</f>
        <v>141.80000000000001</v>
      </c>
      <c r="F46" cm="1">
        <f t="array" ref="F46">IF($A46&lt;=DATE4,SUM(IF((INDEX(INDICES,,1)=$A46)*(INDEX(INDICES,5,)=F$14),INDEX(INDICES,,),0)),NA())</f>
        <v>136.69999999999999</v>
      </c>
      <c r="G46" cm="1">
        <f t="array" ref="G46">IF($A46&lt;=DATE4,SUM(IF((INDEX(INDICES,,1)=$A46)*(INDEX(INDICES,5,)=G$14),INDEX(INDICES,,),0)),NA())</f>
        <v>131.19999999999999</v>
      </c>
      <c r="H46" cm="1">
        <f t="array" ref="H46">IF($A46&lt;=DATE4,SUM(IF((INDEX(INDICES,,1)=$A46)*(INDEX(INDICES,5,)=H$14),INDEX(INDICES,,),0)),NA())</f>
        <v>85.6</v>
      </c>
      <c r="K46" t="str">
        <v>Matériel de distribution et de commande électrique</v>
      </c>
      <c r="L46" s="38">
        <v>0</v>
      </c>
      <c r="M46" t="str">
        <v>Moteurs, génératrices, transfo. électr., matér. distrib., cmde électr.</v>
      </c>
      <c r="N46">
        <v>0</v>
      </c>
      <c r="P46">
        <v>10764224</v>
      </c>
      <c r="Q46" t="str">
        <v>Matériel de distribution et de commande électrique</v>
      </c>
      <c r="R46" s="20">
        <v>0.17282700421940933</v>
      </c>
      <c r="S46" s="20">
        <v>0.16829186281102904</v>
      </c>
      <c r="T46" s="21"/>
    </row>
    <row r="47" spans="1:20">
      <c r="A47" s="1">
        <f t="shared" si="0"/>
        <v>46023</v>
      </c>
      <c r="B47" cm="1">
        <f t="array" ref="B47">IF(A47&lt;=DATE3,SUM(IF((INDEX(INDEX,,1)=A47)*(INDEX(INDEX,3,)="TP01"),INDEX(INDEX,,),0)),"")</f>
        <v>131.4</v>
      </c>
      <c r="C47" s="33" cm="1">
        <f t="array" ref="C47">IF(A47&lt;=DATE3,SUM(IF((INDEX(INDEX,,1)=A47)*(INDEX(INDEX,3,)=C14),INDEX(INDEX,,),0)),"")</f>
        <v>137.5</v>
      </c>
      <c r="D47" cm="1">
        <f t="array" ref="D47">IF($A47&lt;=DATE4,SUM(IF((INDEX(INDICES,,1)=$A47)*(INDEX(INDICES,5,)=D$14),INDEX(INDICES,,),0)),NA())</f>
        <v>127.6</v>
      </c>
      <c r="E47" cm="1">
        <f t="array" ref="E47">IF($A47&lt;=DATE4,SUM(IF((INDEX(INDICES,,1)=$A47)*(INDEX(INDICES,5,)=E$14),INDEX(INDICES,,),0)),NA())</f>
        <v>142.19999999999999</v>
      </c>
      <c r="F47" cm="1">
        <f t="array" ref="F47">IF($A47&lt;=DATE4,SUM(IF((INDEX(INDICES,,1)=$A47)*(INDEX(INDICES,5,)=F$14),INDEX(INDICES,,),0)),NA())</f>
        <v>159</v>
      </c>
      <c r="G47" cm="1">
        <f t="array" ref="G47">IF($A47&lt;=DATE4,SUM(IF((INDEX(INDICES,,1)=$A47)*(INDEX(INDICES,5,)=G$14),INDEX(INDICES,,),0)),NA())</f>
        <v>133.4</v>
      </c>
      <c r="H47" cm="1">
        <f t="array" ref="H47">IF($A47&lt;=DATE4,SUM(IF((INDEX(INDICES,,1)=$A47)*(INDEX(INDICES,5,)=H$14),INDEX(INDICES,,),0)),NA())</f>
        <v>85.4</v>
      </c>
      <c r="K47" t="str">
        <v>Appareils d'éclairage électrique</v>
      </c>
      <c r="L47" s="38">
        <v>0</v>
      </c>
      <c r="M47" t="str">
        <v>Matériel de distribution et de commande électrique</v>
      </c>
      <c r="N47">
        <v>0</v>
      </c>
      <c r="P47">
        <v>10764228</v>
      </c>
      <c r="Q47" t="str">
        <v>Appareils d'éclairage électrique</v>
      </c>
      <c r="R47" s="20">
        <v>-5.0439006164768596E-3</v>
      </c>
      <c r="S47" s="20">
        <v>-7.269338303821038E-3</v>
      </c>
      <c r="T47" s="21"/>
    </row>
    <row r="48" spans="1:20">
      <c r="A48" s="1">
        <f t="shared" si="0"/>
        <v>46054</v>
      </c>
      <c r="B48" cm="1">
        <f t="array" ref="B48">IF(A48&lt;=DATE3,SUM(IF((INDEX(INDEX,,1)=A48)*(INDEX(INDEX,3,)="TP01"),INDEX(INDEX,,),0)),"")</f>
        <v>132.19999999999999</v>
      </c>
      <c r="C48" s="33" cm="1">
        <f t="array" ref="C48">IF(A48&lt;=DATE3,SUM(IF((INDEX(INDEX,,1)=A48)*(INDEX(INDEX,3,)=C14),INDEX(INDEX,,),0)),"")</f>
        <v>137.5</v>
      </c>
      <c r="D48" cm="1">
        <f t="array" ref="D48">IF($A48&lt;=DATE4,SUM(IF((INDEX(INDICES,,1)=$A48)*(INDEX(INDICES,5,)=D$14),INDEX(INDICES,,),0)),NA())</f>
        <v>125.9</v>
      </c>
      <c r="E48" cm="1">
        <f t="array" ref="E48">IF($A48&lt;=DATE4,SUM(IF((INDEX(INDICES,,1)=$A48)*(INDEX(INDICES,5,)=E$14),INDEX(INDICES,,),0)),NA())</f>
        <v>142.6</v>
      </c>
      <c r="F48" cm="1">
        <f t="array" ref="F48">IF($A48&lt;=DATE4,SUM(IF((INDEX(INDICES,,1)=$A48)*(INDEX(INDICES,5,)=F$14),INDEX(INDICES,,),0)),NA())</f>
        <v>162.4</v>
      </c>
      <c r="G48" cm="1">
        <f t="array" ref="G48">IF($A48&lt;=DATE4,SUM(IF((INDEX(INDICES,,1)=$A48)*(INDEX(INDICES,5,)=G$14),INDEX(INDICES,,),0)),NA())</f>
        <v>133.4</v>
      </c>
      <c r="H48" cm="1">
        <f t="array" ref="H48">IF($A48&lt;=DATE4,SUM(IF((INDEX(INDICES,,1)=$A48)*(INDEX(INDICES,5,)=H$14),INDEX(INDICES,,),0)),NA())</f>
        <v>85.9</v>
      </c>
      <c r="K48" t="str">
        <v>Câbles de fibres optiques</v>
      </c>
      <c r="L48" s="38">
        <v>0</v>
      </c>
      <c r="M48" t="str">
        <v>Appareils d'éclairage électrique</v>
      </c>
      <c r="N48">
        <v>0</v>
      </c>
      <c r="P48">
        <v>10764834</v>
      </c>
      <c r="Q48" t="str">
        <v>Câbles de fibres optiques</v>
      </c>
      <c r="R48" s="20">
        <v>-3.4916201117318413E-2</v>
      </c>
      <c r="S48" s="20">
        <v>-0.16897173782321095</v>
      </c>
      <c r="T48" s="21"/>
    </row>
    <row r="49" spans="1:20">
      <c r="A49" s="1">
        <f t="shared" si="0"/>
        <v>46082</v>
      </c>
      <c r="B49" cm="1">
        <f t="array" ref="B49">IF(A49&lt;=DATE3,SUM(IF((INDEX(INDEX,,1)=A49)*(INDEX(INDEX,3,)="TP01"),INDEX(INDEX,,),0)),"")</f>
        <v>136.30000000000001</v>
      </c>
      <c r="C49" s="33" cm="1">
        <f t="array" ref="C49">IF(A49&lt;=DATE3,SUM(IF((INDEX(INDEX,,1)=A49)*(INDEX(INDEX,3,)=C14),INDEX(INDEX,,),0)),"")</f>
        <v>138.9</v>
      </c>
      <c r="D49" cm="1">
        <f t="array" ref="D49">IF($A49&lt;=DATE4,SUM(IF((INDEX(INDICES,,1)=$A49)*(INDEX(INDICES,5,)=D$14),INDEX(INDICES,,),0)),NA())</f>
        <v>126.5</v>
      </c>
      <c r="E49" cm="1">
        <f t="array" ref="E49">IF($A49&lt;=DATE4,SUM(IF((INDEX(INDICES,,1)=$A49)*(INDEX(INDICES,5,)=E$14),INDEX(INDICES,,),0)),NA())</f>
        <v>143</v>
      </c>
      <c r="F49" cm="1">
        <f t="array" ref="F49">IF($A49&lt;=DATE4,SUM(IF((INDEX(INDICES,,1)=$A49)*(INDEX(INDICES,5,)=F$14),INDEX(INDICES,,),0)),NA())</f>
        <v>224.3</v>
      </c>
      <c r="G49" cm="1">
        <f t="array" ref="G49">IF($A49&lt;=DATE4,SUM(IF((INDEX(INDICES,,1)=$A49)*(INDEX(INDICES,5,)=G$14),INDEX(INDICES,,),0)),NA())</f>
        <v>133.69999999999999</v>
      </c>
      <c r="H49" cm="1">
        <f t="array" ref="H49">IF($A49&lt;=DATE4,SUM(IF((INDEX(INDICES,,1)=$A49)*(INDEX(INDICES,5,)=H$14),INDEX(INDICES,,),0)),NA())</f>
        <v>87.6</v>
      </c>
      <c r="K49" t="str">
        <v>Peintures Industries</v>
      </c>
      <c r="L49" s="38">
        <v>0</v>
      </c>
      <c r="M49" t="str">
        <v>Câbles de fibres optiques</v>
      </c>
      <c r="N49">
        <v>0</v>
      </c>
      <c r="P49">
        <v>10763825</v>
      </c>
      <c r="Q49" t="str">
        <v>Peintures Industries</v>
      </c>
      <c r="R49" s="20">
        <v>-4.7865268134140937E-2</v>
      </c>
      <c r="S49" s="20">
        <v>-6.5129097766173594E-2</v>
      </c>
      <c r="T49" s="21"/>
    </row>
    <row r="50" spans="1:20">
      <c r="A50" s="1">
        <f t="shared" si="0"/>
        <v>46113</v>
      </c>
      <c r="B50" cm="1">
        <f t="array" ref="B50">IF(A50&lt;=DATE3,SUM(IF((INDEX(INDEX,,1)=A50)*(INDEX(INDEX,3,)="TP01"),INDEX(INDEX,,),0)),"")</f>
        <v>141</v>
      </c>
      <c r="C50" s="33" cm="1">
        <f t="array" ref="C50">IF(A50&lt;=DATE3,SUM(IF((INDEX(INDEX,,1)=A50)*(INDEX(INDEX,3,)=C14),INDEX(INDEX,,),0)),"")</f>
        <v>140.69999999999999</v>
      </c>
      <c r="D50" cm="1">
        <f t="array" ref="D50">IF($A50&lt;=DATE4,SUM(IF((INDEX(INDICES,,1)=$A50)*(INDEX(INDICES,5,)=D$14),INDEX(INDICES,,),0)),NA())</f>
        <v>128.1</v>
      </c>
      <c r="E50" cm="1">
        <f t="array" ref="E50">IF($A50&lt;=DATE4,SUM(IF((INDEX(INDICES,,1)=$A50)*(INDEX(INDICES,5,)=E$14),INDEX(INDICES,,),0)),NA())</f>
        <v>143</v>
      </c>
      <c r="F50" cm="1">
        <f t="array" ref="F50">IF($A50&lt;=DATE4,SUM(IF((INDEX(INDICES,,1)=$A50)*(INDEX(INDICES,5,)=F$14),INDEX(INDICES,,),0)),NA())</f>
        <v>230.3</v>
      </c>
      <c r="G50" cm="1">
        <f t="array" ref="G50">IF($A50&lt;=DATE4,SUM(IF((INDEX(INDICES,,1)=$A50)*(INDEX(INDICES,5,)=G$14),INDEX(INDICES,,),0)),NA())</f>
        <v>137.5</v>
      </c>
      <c r="H50" cm="1">
        <f t="array" ref="H50">IF($A50&lt;=DATE4,SUM(IF((INDEX(INDICES,,1)=$A50)*(INDEX(INDICES,5,)=H$14),INDEX(INDICES,,),0)),NA())</f>
        <v>91.3</v>
      </c>
      <c r="K50" t="str">
        <v>Produits sidérurgiques en acier non allié</v>
      </c>
      <c r="L50" s="38">
        <v>0</v>
      </c>
      <c r="M50" t="str">
        <v>Peintures Industries</v>
      </c>
      <c r="N50">
        <v>0</v>
      </c>
      <c r="P50">
        <v>10763881</v>
      </c>
      <c r="Q50" t="str">
        <v>Produits sidérurgiques en acier non allié</v>
      </c>
      <c r="R50" s="20">
        <v>3.1263292216078487E-2</v>
      </c>
      <c r="S50" s="20">
        <v>-7.1662571662570729E-3</v>
      </c>
      <c r="T50" s="21"/>
    </row>
    <row r="51" spans="1:20">
      <c r="A51" s="1">
        <f t="shared" si="0"/>
        <v>46143</v>
      </c>
      <c r="B51" cm="1">
        <f t="array" ref="B51">IF(A51&lt;=DATE3,SUM(IF((INDEX(INDEX,,1)=A51)*(INDEX(INDEX,3,)="TP01"),INDEX(INDEX,,),0)),"")</f>
        <v>140.4</v>
      </c>
      <c r="C51" s="33" cm="1">
        <f t="array" ref="C51">IF(A51&lt;=DATE3,SUM(IF((INDEX(INDEX,,1)=A51)*(INDEX(INDEX,3,)=C14),INDEX(INDEX,,),0)),"")</f>
        <v>141</v>
      </c>
      <c r="D51" cm="1">
        <f t="array" ref="D51">IF($A51&lt;=DATE4,SUM(IF((INDEX(INDICES,,1)=$A51)*(INDEX(INDICES,5,)=D$14),INDEX(INDICES,,),0)),NA())</f>
        <v>127.8</v>
      </c>
      <c r="E51" cm="1">
        <f t="array" ref="E51">IF($A51&lt;=DATE4,SUM(IF((INDEX(INDICES,,1)=$A51)*(INDEX(INDICES,5,)=E$14),INDEX(INDICES,,),0)),NA())</f>
        <v>143</v>
      </c>
      <c r="F51" cm="1">
        <f t="array" ref="F51">IF($A51&lt;=DATE4,SUM(IF((INDEX(INDICES,,1)=$A51)*(INDEX(INDICES,5,)=F$14),INDEX(INDICES,,),0)),NA())</f>
        <v>212.8</v>
      </c>
      <c r="G51" cm="1">
        <f t="array" ref="G51">IF($A51&lt;=DATE4,SUM(IF((INDEX(INDICES,,1)=$A51)*(INDEX(INDICES,5,)=G$14),INDEX(INDICES,,),0)),NA())</f>
        <v>136.5</v>
      </c>
      <c r="H51" cm="1">
        <f t="array" ref="H51">IF($A51&lt;=DATE4,SUM(IF((INDEX(INDICES,,1)=$A51)*(INDEX(INDICES,5,)=H$14),INDEX(INDICES,,),0)),NA())</f>
        <v>95.4</v>
      </c>
      <c r="K51" t="str">
        <v>Tôles quarto et autres produits plats en aciers non alliés de qualité</v>
      </c>
      <c r="L51" s="38">
        <v>0</v>
      </c>
      <c r="M51" t="str">
        <v>Produits sidérurgiques en acier non allié</v>
      </c>
      <c r="N51">
        <v>0</v>
      </c>
      <c r="P51">
        <v>10765839</v>
      </c>
      <c r="Q51" t="str">
        <v>Tôles quarto et autres produits plats en aciers non alliés de qualité</v>
      </c>
      <c r="R51" s="20">
        <v>4.5031815956926069E-2</v>
      </c>
      <c r="S51" s="20">
        <v>-4.2386185243327934E-2</v>
      </c>
      <c r="T51" s="21"/>
    </row>
    <row r="52" spans="1:20">
      <c r="A52" s="1" t="str">
        <f t="shared" si="0"/>
        <v/>
      </c>
      <c r="E52" s="42"/>
      <c r="K52" t="str">
        <v>Éléments en métal pour la construction</v>
      </c>
      <c r="L52" s="38">
        <v>0</v>
      </c>
      <c r="M52" t="str">
        <v>Tôles quarto et autres produits plats en aciers non alliés de qualité</v>
      </c>
      <c r="N52">
        <v>0</v>
      </c>
      <c r="P52">
        <v>10764200</v>
      </c>
      <c r="Q52" t="str">
        <v>Traitement et élimination des déchets non dangereux</v>
      </c>
      <c r="R52" s="20">
        <v>4.3948613928330715E-3</v>
      </c>
      <c r="S52" s="20">
        <v>2.7672085783466027E-2</v>
      </c>
      <c r="T52" s="21"/>
    </row>
    <row r="53" spans="1:20">
      <c r="A53" s="1" t="str">
        <f>IF(A52&lt;=DATE3,EDATE(A52,1),"")</f>
        <v/>
      </c>
      <c r="E53" s="42"/>
      <c r="K53" t="str">
        <v>Restaurants et hôtels</v>
      </c>
      <c r="L53" s="38">
        <v>0</v>
      </c>
      <c r="M53" t="str">
        <v>Éléments en métal pour la construction</v>
      </c>
      <c r="N53">
        <v>0</v>
      </c>
      <c r="P53" t="s">
        <v>81</v>
      </c>
      <c r="Q53" t="str">
        <v>Collecte, traitement et élimination des déchets ; récupération de matériaux</v>
      </c>
      <c r="R53" s="20">
        <v>3.0523255813953654E-2</v>
      </c>
      <c r="S53" s="20">
        <v>3.730797366495997E-2</v>
      </c>
      <c r="T53" s="21"/>
    </row>
    <row r="54" spans="1:20">
      <c r="A54" s="1"/>
      <c r="K54" t="str">
        <v>Traitement et élimination des déchets non dangereux</v>
      </c>
      <c r="L54" s="38">
        <v>0.01</v>
      </c>
      <c r="M54" t="str">
        <v>Restaurants et hôtels</v>
      </c>
      <c r="N54">
        <v>0</v>
      </c>
      <c r="P54">
        <v>10764306</v>
      </c>
      <c r="Q54">
        <v>0</v>
      </c>
      <c r="R54" s="20">
        <v>0</v>
      </c>
      <c r="S54" s="20">
        <v>0</v>
      </c>
      <c r="T54" s="21"/>
    </row>
    <row r="55" spans="1:20">
      <c r="A55" s="1"/>
      <c r="K55" t="str">
        <v>Collecte, traitement et élimination des déchets ; récupération de matériaux</v>
      </c>
      <c r="L55" s="38">
        <v>0</v>
      </c>
      <c r="M55" t="str">
        <v>Collecte, traitement et élimination des déchets ; récupération de matériaux</v>
      </c>
      <c r="N55">
        <v>0</v>
      </c>
      <c r="P55">
        <v>10764301</v>
      </c>
      <c r="Q55">
        <v>0</v>
      </c>
      <c r="R55" s="20">
        <v>0</v>
      </c>
      <c r="S55" s="20">
        <v>0</v>
      </c>
      <c r="T55" s="21"/>
    </row>
    <row r="56" spans="1:20">
      <c r="A56" s="1"/>
    </row>
    <row r="57" spans="1:20">
      <c r="A57" s="1"/>
    </row>
    <row r="58" spans="1:20">
      <c r="A58" s="1"/>
    </row>
    <row r="59" spans="1:20">
      <c r="A59" s="1"/>
    </row>
    <row r="60" spans="1:20">
      <c r="A60" s="1"/>
      <c r="B60" s="78"/>
    </row>
    <row r="61" spans="1:20">
      <c r="A61" s="1"/>
    </row>
    <row r="62" spans="1:20">
      <c r="A62" s="1"/>
    </row>
    <row r="63" spans="1:20">
      <c r="A63" s="1"/>
    </row>
    <row r="64" spans="1:20">
      <c r="A64" s="1"/>
    </row>
    <row r="65" spans="1:1">
      <c r="A65" s="1"/>
    </row>
    <row r="66" spans="1:1">
      <c r="A66" s="1"/>
    </row>
    <row r="67" spans="1:1">
      <c r="A67" s="1"/>
    </row>
    <row r="68" spans="1:1">
      <c r="A68" s="1"/>
    </row>
    <row r="69" spans="1:1">
      <c r="A69" s="1"/>
    </row>
    <row r="70" spans="1:1">
      <c r="A70" s="1"/>
    </row>
    <row r="71" spans="1:1">
      <c r="A71" s="1"/>
    </row>
    <row r="72" spans="1:1">
      <c r="A72" s="1"/>
    </row>
    <row r="73" spans="1:1">
      <c r="A73" s="1"/>
    </row>
    <row r="74" spans="1:1">
      <c r="A74" s="1"/>
    </row>
    <row r="75" spans="1:1">
      <c r="A75" s="1"/>
    </row>
    <row r="76" spans="1:1">
      <c r="A76" s="1"/>
    </row>
    <row r="77" spans="1:1">
      <c r="A77" s="1"/>
    </row>
    <row r="78" spans="1:1">
      <c r="A78" s="1"/>
    </row>
    <row r="79" spans="1:1">
      <c r="A79" s="1"/>
    </row>
    <row r="80" spans="1:1">
      <c r="A80" s="1"/>
    </row>
    <row r="81" spans="1:1">
      <c r="A81" s="1"/>
    </row>
    <row r="82" spans="1:1">
      <c r="A82" s="1"/>
    </row>
    <row r="83" spans="1:1">
      <c r="A83" s="1"/>
    </row>
    <row r="84" spans="1:1">
      <c r="A84" s="1"/>
    </row>
    <row r="85" spans="1:1">
      <c r="A85" s="1"/>
    </row>
    <row r="86" spans="1:1">
      <c r="A86" s="1"/>
    </row>
    <row r="87" spans="1:1">
      <c r="A87" s="1"/>
    </row>
    <row r="88" spans="1:1">
      <c r="A88" s="1"/>
    </row>
    <row r="89" spans="1:1">
      <c r="A89" s="1"/>
    </row>
    <row r="90" spans="1:1">
      <c r="A90" s="1"/>
    </row>
    <row r="91" spans="1:1">
      <c r="A91" s="1"/>
    </row>
    <row r="92" spans="1:1">
      <c r="A92" s="1"/>
    </row>
    <row r="93" spans="1:1">
      <c r="A93" s="1"/>
    </row>
    <row r="94" spans="1:1">
      <c r="A94" s="1"/>
    </row>
    <row r="95" spans="1:1">
      <c r="A95" s="1"/>
    </row>
  </sheetData>
  <sheetProtection algorithmName="SHA-512" hashValue="AnGR5yasUsBFIgw4/TAOKMPtdCYgnVbzkU240C9cLv036GZEIdITN8udEFo3s/nZ37Lry85/1kUwswNJPqZhwg==" saltValue="z63cSRdVFBm180UX3rjhmA==" spinCount="100000" sheet="1" objects="1" scenarios="1"/>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77A5C-B31B-43BB-96E8-807802E93431}">
  <sheetPr codeName="Feuil18">
    <tabColor rgb="FF92D050"/>
  </sheetPr>
  <dimension ref="A1:S55"/>
  <sheetViews>
    <sheetView workbookViewId="0">
      <selection activeCell="H35" sqref="H35"/>
    </sheetView>
  </sheetViews>
  <sheetFormatPr baseColWidth="10" defaultRowHeight="15"/>
  <cols>
    <col min="11" max="11" width="25" customWidth="1"/>
    <col min="17" max="17" width="24.42578125" customWidth="1"/>
  </cols>
  <sheetData>
    <row r="1" spans="1:19">
      <c r="A1" t="s">
        <v>176</v>
      </c>
      <c r="C1" t="str">
        <f>'RESULTATS 3-6 MOIS GLISSANTS'!B4</f>
        <v>TP02</v>
      </c>
    </row>
    <row r="2" spans="1:19">
      <c r="A2" t="s">
        <v>172</v>
      </c>
      <c r="C2" s="96">
        <f>SUM(INDEX(compo_index,MATCH(C1,'COMPOSITION INDEX'!A1:A26),2))</f>
        <v>0.09</v>
      </c>
    </row>
    <row r="4" spans="1:19">
      <c r="A4" t="str">
        <f>"Composition globale du "&amp;C1</f>
        <v>Composition globale du TP02</v>
      </c>
    </row>
    <row r="5" spans="1:19">
      <c r="A5" s="83" t="s">
        <v>164</v>
      </c>
      <c r="B5" s="83" t="s">
        <v>115</v>
      </c>
      <c r="C5" cm="1">
        <f t="array" ref="C5">SUM(IF((INDEX(compo_index,1,)=A5)*(INDEX(compo_index,,1)=C1),INDEX(compo_index,,),0))</f>
        <v>0.21</v>
      </c>
      <c r="G5" s="85" t="s">
        <v>47</v>
      </c>
      <c r="H5" s="83" t="s">
        <v>115</v>
      </c>
    </row>
    <row r="6" spans="1:19">
      <c r="A6" s="83" t="s">
        <v>165</v>
      </c>
      <c r="B6" s="83" t="s">
        <v>116</v>
      </c>
      <c r="C6" cm="1">
        <f t="array" ref="C6">SUM(IF((INDEX(compo_index,1,)=A6)*(INDEX(compo_index,,1)=C1),INDEX(compo_index,,),0))</f>
        <v>0.5</v>
      </c>
      <c r="G6" s="83" t="s">
        <v>48</v>
      </c>
      <c r="H6" s="83" t="s">
        <v>116</v>
      </c>
    </row>
    <row r="7" spans="1:19">
      <c r="A7" s="83" t="s">
        <v>166</v>
      </c>
      <c r="B7" s="83" t="s">
        <v>173</v>
      </c>
      <c r="C7" cm="1">
        <f t="array" ref="C7">SUM(IF((INDEX(compo_index,1,)=A7)*(INDEX(compo_index,,1)=C1),INDEX(compo_index,,),0))</f>
        <v>0.02</v>
      </c>
      <c r="G7" s="85" t="s">
        <v>317</v>
      </c>
      <c r="H7" s="83" t="s">
        <v>316</v>
      </c>
    </row>
    <row r="8" spans="1:19">
      <c r="A8" s="83" t="s">
        <v>169</v>
      </c>
      <c r="B8" s="83" t="s">
        <v>174</v>
      </c>
      <c r="C8" cm="1">
        <f t="array" ref="C8">SUM(IF((INDEX(compo_index,1,)=A8)*(INDEX(compo_index,,1)=C1),INDEX(compo_index,,),0))</f>
        <v>0.24</v>
      </c>
      <c r="G8" s="85" t="s">
        <v>50</v>
      </c>
      <c r="H8" s="83" t="s">
        <v>118</v>
      </c>
    </row>
    <row r="9" spans="1:19">
      <c r="A9" s="83" t="s">
        <v>167</v>
      </c>
      <c r="B9" s="83" t="s">
        <v>119</v>
      </c>
      <c r="C9" cm="1">
        <f t="array" ref="C9">SUM(IF((INDEX(compo_index,1,)=A9)*(INDEX(compo_index,,1)=C1),INDEX(compo_index,,),0))</f>
        <v>0.01</v>
      </c>
      <c r="G9" s="85" t="s">
        <v>51</v>
      </c>
      <c r="H9" s="83" t="s">
        <v>119</v>
      </c>
    </row>
    <row r="10" spans="1:19">
      <c r="A10" s="83" t="s">
        <v>168</v>
      </c>
      <c r="B10" s="83" t="s">
        <v>162</v>
      </c>
      <c r="C10" cm="1">
        <f t="array" ref="C10">SUM(IF((INDEX(compo_index,1,)=A10)*(INDEX(compo_index,,1)=C1),INDEX(compo_index,,),0))</f>
        <v>0.01</v>
      </c>
      <c r="G10" s="85" t="s">
        <v>52</v>
      </c>
      <c r="H10" s="83" t="s">
        <v>120</v>
      </c>
    </row>
    <row r="11" spans="1:19">
      <c r="A11" s="83" t="s">
        <v>170</v>
      </c>
      <c r="B11" s="83" t="s">
        <v>175</v>
      </c>
      <c r="C11" cm="1">
        <f t="array" ref="C11">SUM(IF((INDEX(compo_index,1,)=A11)*(INDEX(compo_index,,1)=C1),INDEX(compo_index,,),0))</f>
        <v>0.01</v>
      </c>
    </row>
    <row r="14" spans="1:19">
      <c r="B14" t="s">
        <v>19</v>
      </c>
      <c r="C14" t="str">
        <f>C1</f>
        <v>TP02</v>
      </c>
      <c r="D14" t="s">
        <v>115</v>
      </c>
      <c r="E14" s="83" t="s">
        <v>116</v>
      </c>
      <c r="F14" s="83" t="s">
        <v>316</v>
      </c>
      <c r="G14" s="83" t="str">
        <f>IF(OR(M15=E14,M15=D14),IF(OR(M16=E14, M16=D14),M17,M16),M15)</f>
        <v>Béton prêt à l'emploi</v>
      </c>
      <c r="H14" s="83" t="str">
        <f>IF(OR(M16=D14,M16=E14,M16=F14,M16=G14),IF(OR(M17=D14,M17=E14,M17=F14,M17=G14),IF(OR(M18=D14,M18=E14,M18=F14,M18=G14),IF(OR(M19=D14,M19=E14,M19=F14,M19=G14),M20,M19),M18),M17),M16)</f>
        <v>Barres crénelées ou nervurées pour béton armé</v>
      </c>
      <c r="L14" s="78" t="str">
        <f>C14</f>
        <v>TP02</v>
      </c>
    </row>
    <row r="15" spans="1:19">
      <c r="B15" s="78"/>
      <c r="D15" t="str">
        <f>HLOOKUP(D14,'COMPOSITION INDEX'!$A$2:$AR$3,2,FALSE)</f>
        <v>001711009</v>
      </c>
      <c r="E15">
        <f>HLOOKUP(E14,'COMPOSITION INDEX'!$A$2:$AR$3,2,FALSE)</f>
        <v>8308500</v>
      </c>
      <c r="F15" t="str">
        <f>HLOOKUP(F14,'COMPOSITION INDEX'!$A$2:$AR$3,2,FALSE)</f>
        <v>010777519</v>
      </c>
      <c r="G15" t="str">
        <f>HLOOKUP(G14,'COMPOSITION INDEX'!$A$2:$AR$3,2,FALSE)</f>
        <v>010534646</v>
      </c>
      <c r="H15" t="str">
        <f>HLOOKUP(H14,'COMPOSITION INDEX'!$A$2:$AR$3,2,FALSE)</f>
        <v>010546545</v>
      </c>
      <c r="K15" t="str" cm="1">
        <f t="array" ref="K15:K55">TRANSPOSE(INDEX('COMPOSITION INDEX'!D1:AR27,2,))</f>
        <v>Matériel</v>
      </c>
      <c r="L15" s="38" cm="1">
        <f t="array" ref="L15:L55">TRANSPOSE(INDEX('COMPOSITION INDEX'!D1:AR27,MATCH(L14,'COMPOSITION INDEX'!A1:A27,0),))</f>
        <v>0.21</v>
      </c>
      <c r="M15" t="str" cm="1">
        <f t="array" ref="M15:N55">_xlfn._xlws.SORT(K15:L55,2,-1)</f>
        <v>Travail</v>
      </c>
      <c r="N15">
        <v>0.5</v>
      </c>
      <c r="P15" t="s">
        <v>47</v>
      </c>
      <c r="Q15" t="str" cm="1">
        <f t="array" ref="Q15:S55">'3-6 MOIS GLISSANTS'!C45:E85</f>
        <v>Matériel</v>
      </c>
      <c r="R15" s="20">
        <v>8.9709762532981241E-3</v>
      </c>
      <c r="S15" s="20">
        <v>2.3696682464453556E-3</v>
      </c>
    </row>
    <row r="16" spans="1:19">
      <c r="A16" s="1">
        <f>EDATE(DATE3,-11)</f>
        <v>45809</v>
      </c>
      <c r="B16" cm="1">
        <f t="array" ref="B16">IF(A16&lt;=DATE3,SUM(IF((INDEX(INDEX,,1)=A16)*(INDEX(INDEX,3,)="TP01"),INDEX(INDEX,,),0)),"")</f>
        <v>130.5</v>
      </c>
      <c r="C16" s="33" cm="1">
        <f t="array" ref="C16">IF(A16&lt;=DATE3,SUM(IF((INDEX(INDEX,,1)=A16)*(INDEX(INDEX,3,)=C14),INDEX(INDEX,,),0)),"")</f>
        <v>135</v>
      </c>
      <c r="D16" cm="1">
        <f t="array" ref="D16">IF($A16&lt;=DATE4,SUM(IF((INDEX(INDICES,,1)=$A16)*(INDEX(INDICES,5,)=D$14),INDEX(INDICES,,),0)),NA())</f>
        <v>126</v>
      </c>
      <c r="E16" cm="1">
        <f t="array" ref="E16">IF($A16&lt;=DATE4,SUM(IF((INDEX(INDICES,,1)=$A16)*(INDEX(INDICES,5,)=E$14),INDEX(INDICES,,),0)),NA())</f>
        <v>138.69999999999999</v>
      </c>
      <c r="F16" cm="1">
        <f t="array" ref="F16">IF($A16&lt;=DATE4,SUM(IF((INDEX(INDICES,,1)=$A16)*(INDEX(INDICES,5,)=F$14),INDEX(INDICES,,),0)),NA())</f>
        <v>143.9</v>
      </c>
      <c r="G16" cm="1">
        <f t="array" ref="G16">IF($A16&lt;=DATE4,SUM(IF((INDEX(INDICES,,1)=$A16)*(INDEX(INDICES,5,)=G$14),INDEX(INDICES,,),0)),NA())</f>
        <v>130.69999999999999</v>
      </c>
      <c r="H16" cm="1">
        <f t="array" ref="H16">IF($A16&lt;=DATE4,SUM(IF((INDEX(INDICES,,1)=$A16)*(INDEX(INDICES,5,)=H$14),INDEX(INDICES,,),0)),NA())</f>
        <v>89.4</v>
      </c>
      <c r="K16" t="str">
        <v>Travail</v>
      </c>
      <c r="L16" s="38">
        <v>0.5</v>
      </c>
      <c r="M16" t="str">
        <v>Matériel</v>
      </c>
      <c r="N16">
        <v>0.21</v>
      </c>
      <c r="P16">
        <v>103167938</v>
      </c>
      <c r="Q16" t="str">
        <v>Travail</v>
      </c>
      <c r="R16" s="20">
        <v>5.6258790436005679E-3</v>
      </c>
      <c r="S16" s="20">
        <v>2.0758768790264837E-2</v>
      </c>
    </row>
    <row r="17" spans="1:19">
      <c r="A17" s="1">
        <f>EDATE(A16,1)</f>
        <v>45839</v>
      </c>
      <c r="B17" cm="1">
        <f t="array" ref="B17">IF(A17&lt;=DATE3,SUM(IF((INDEX(INDEX,,1)=A17)*(INDEX(INDEX,3,)="TP01"),INDEX(INDEX,,),0)),"")</f>
        <v>131</v>
      </c>
      <c r="C17" s="33" cm="1">
        <f t="array" ref="C17">IF(A17&lt;=DATE3,SUM(IF((INDEX(INDEX,,1)=A17)*(INDEX(INDEX,3,)=C14),INDEX(INDEX,,),0)),"")</f>
        <v>135.19999999999999</v>
      </c>
      <c r="D17" cm="1">
        <f t="array" ref="D17">IF($A17&lt;=DATE4,SUM(IF((INDEX(INDICES,,1)=$A17)*(INDEX(INDICES,5,)=D$14),INDEX(INDICES,,),0)),NA())</f>
        <v>125.5</v>
      </c>
      <c r="E17" cm="1">
        <f t="array" ref="E17">IF($A17&lt;=DATE4,SUM(IF((INDEX(INDICES,,1)=$A17)*(INDEX(INDICES,5,)=E$14),INDEX(INDICES,,),0)),NA())</f>
        <v>139</v>
      </c>
      <c r="F17" cm="1">
        <f t="array" ref="F17">IF($A17&lt;=DATE4,SUM(IF((INDEX(INDICES,,1)=$A17)*(INDEX(INDICES,5,)=F$14),INDEX(INDICES,,),0)),NA())</f>
        <v>147.30000000000001</v>
      </c>
      <c r="G17" cm="1">
        <f t="array" ref="G17">IF($A17&lt;=DATE4,SUM(IF((INDEX(INDICES,,1)=$A17)*(INDEX(INDICES,5,)=G$14),INDEX(INDICES,,),0)),NA())</f>
        <v>131.30000000000001</v>
      </c>
      <c r="H17" cm="1">
        <f t="array" ref="H17">IF($A17&lt;=DATE4,SUM(IF((INDEX(INDICES,,1)=$A17)*(INDEX(INDICES,5,)=H$14),INDEX(INDICES,,),0)),NA())</f>
        <v>88.6</v>
      </c>
      <c r="K17" t="str">
        <v>GNR pour les Travaux Publics</v>
      </c>
      <c r="L17" s="38">
        <v>0.01</v>
      </c>
      <c r="M17" t="str">
        <v>Béton prêt à l'emploi</v>
      </c>
      <c r="N17">
        <v>0.12</v>
      </c>
      <c r="P17" t="s">
        <v>49</v>
      </c>
      <c r="Q17" t="str">
        <v>Travail activités spécialisées</v>
      </c>
      <c r="R17" s="20">
        <v>4.1172196657786042E-3</v>
      </c>
      <c r="S17" s="20">
        <v>1.0995723885155684E-2</v>
      </c>
    </row>
    <row r="18" spans="1:19">
      <c r="A18" s="1">
        <f t="shared" ref="A18:A27" si="0">EDATE(A17,1)</f>
        <v>45870</v>
      </c>
      <c r="B18" cm="1">
        <f t="array" ref="B18">IF(A18&lt;=DATE3,SUM(IF((INDEX(INDEX,,1)=A18)*(INDEX(INDEX,3,)="TP01"),INDEX(INDEX,,),0)),"")</f>
        <v>131.4</v>
      </c>
      <c r="C18" s="33" cm="1">
        <f t="array" ref="C18">IF(A18&lt;=DATE3,SUM(IF((INDEX(INDEX,,1)=A18)*(INDEX(INDEX,3,)=C14),INDEX(INDEX,,),0)),"")</f>
        <v>136.1</v>
      </c>
      <c r="D18" cm="1">
        <f t="array" ref="D18">IF($A18&lt;=DATE4,SUM(IF((INDEX(INDICES,,1)=$A18)*(INDEX(INDICES,5,)=D$14),INDEX(INDICES,,),0)),NA())</f>
        <v>128.4</v>
      </c>
      <c r="E18" cm="1">
        <f t="array" ref="E18">IF($A18&lt;=DATE4,SUM(IF((INDEX(INDICES,,1)=$A18)*(INDEX(INDICES,5,)=E$14),INDEX(INDICES,,),0)),NA())</f>
        <v>139.30000000000001</v>
      </c>
      <c r="F18" cm="1">
        <f t="array" ref="F18">IF($A18&lt;=DATE4,SUM(IF((INDEX(INDICES,,1)=$A18)*(INDEX(INDICES,5,)=F$14),INDEX(INDICES,,),0)),NA())</f>
        <v>143.30000000000001</v>
      </c>
      <c r="G18" cm="1">
        <f t="array" ref="G18">IF($A18&lt;=DATE4,SUM(IF((INDEX(INDICES,,1)=$A18)*(INDEX(INDICES,5,)=G$14),INDEX(INDICES,,),0)),NA())</f>
        <v>132.69999999999999</v>
      </c>
      <c r="H18" cm="1">
        <f t="array" ref="H18">IF($A18&lt;=DATE4,SUM(IF((INDEX(INDICES,,1)=$A18)*(INDEX(INDICES,5,)=H$14),INDEX(INDICES,,),0)),NA())</f>
        <v>87.8</v>
      </c>
      <c r="K18" t="str">
        <v>Gazole</v>
      </c>
      <c r="L18" s="38">
        <v>0</v>
      </c>
      <c r="M18" t="str">
        <v>Barres crénelées ou nervurées pour béton armé</v>
      </c>
      <c r="N18">
        <v>0.1</v>
      </c>
      <c r="P18" s="33" t="s">
        <v>317</v>
      </c>
      <c r="Q18" t="str">
        <v>GNR pour les Travaux Publics</v>
      </c>
      <c r="R18" s="20">
        <v>0.45688714254529583</v>
      </c>
      <c r="S18" s="20">
        <v>0.28982351592940625</v>
      </c>
    </row>
    <row r="19" spans="1:19">
      <c r="A19" s="1">
        <f t="shared" si="0"/>
        <v>45901</v>
      </c>
      <c r="B19" cm="1">
        <f t="array" ref="B19">IF(A19&lt;=DATE3,SUM(IF((INDEX(INDEX,,1)=A19)*(INDEX(INDEX,3,)="TP01"),INDEX(INDEX,,),0)),"")</f>
        <v>130.69999999999999</v>
      </c>
      <c r="C19" s="33" cm="1">
        <f t="array" ref="C19">IF(A19&lt;=DATE3,SUM(IF((INDEX(INDEX,,1)=A19)*(INDEX(INDEX,3,)=C14),INDEX(INDEX,,),0)),"")</f>
        <v>135.69999999999999</v>
      </c>
      <c r="D19" cm="1">
        <f t="array" ref="D19">IF($A19&lt;=DATE4,SUM(IF((INDEX(INDICES,,1)=$A19)*(INDEX(INDICES,5,)=D$14),INDEX(INDICES,,),0)),NA())</f>
        <v>126.8</v>
      </c>
      <c r="E19" cm="1">
        <f t="array" ref="E19">IF($A19&lt;=DATE4,SUM(IF((INDEX(INDICES,,1)=$A19)*(INDEX(INDICES,5,)=E$14),INDEX(INDICES,,),0)),NA())</f>
        <v>139.69999999999999</v>
      </c>
      <c r="F19" cm="1">
        <f t="array" ref="F19">IF($A19&lt;=DATE4,SUM(IF((INDEX(INDICES,,1)=$A19)*(INDEX(INDICES,5,)=F$14),INDEX(INDICES,,),0)),NA())</f>
        <v>145.1</v>
      </c>
      <c r="G19" cm="1">
        <f t="array" ref="G19">IF($A19&lt;=DATE4,SUM(IF((INDEX(INDICES,,1)=$A19)*(INDEX(INDICES,5,)=G$14),INDEX(INDICES,,),0)),NA())</f>
        <v>131.30000000000001</v>
      </c>
      <c r="H19" cm="1">
        <f t="array" ref="H19">IF($A19&lt;=DATE4,SUM(IF((INDEX(INDICES,,1)=$A19)*(INDEX(INDICES,5,)=H$14),INDEX(INDICES,,),0)),NA())</f>
        <v>87.7</v>
      </c>
      <c r="K19" t="str">
        <v>Frais divers</v>
      </c>
      <c r="L19" s="38">
        <v>0.01</v>
      </c>
      <c r="M19" t="str">
        <v>GNR pour les Travaux Publics</v>
      </c>
      <c r="N19">
        <v>0.01</v>
      </c>
      <c r="P19" t="s">
        <v>50</v>
      </c>
      <c r="Q19" t="str">
        <v>Gazole</v>
      </c>
      <c r="R19" s="20">
        <v>0.30985729386892169</v>
      </c>
      <c r="S19" s="20">
        <v>0.16876995336553735</v>
      </c>
    </row>
    <row r="20" spans="1:19">
      <c r="A20" s="1">
        <f t="shared" si="0"/>
        <v>45931</v>
      </c>
      <c r="B20" cm="1">
        <f t="array" ref="B20">IF(A20&lt;=DATE3,SUM(IF((INDEX(INDEX,,1)=A20)*(INDEX(INDEX,3,)="TP01"),INDEX(INDEX,,),0)),"")</f>
        <v>130.5</v>
      </c>
      <c r="C20" s="33" cm="1">
        <f t="array" ref="C20">IF(A20&lt;=DATE3,SUM(IF((INDEX(INDEX,,1)=A20)*(INDEX(INDEX,3,)=C14),INDEX(INDEX,,),0)),"")</f>
        <v>135.69999999999999</v>
      </c>
      <c r="D20" cm="1">
        <f t="array" ref="D20">IF($A20&lt;=DATE4,SUM(IF((INDEX(INDICES,,1)=$A20)*(INDEX(INDICES,5,)=D$14),INDEX(INDICES,,),0)),NA())</f>
        <v>126.7</v>
      </c>
      <c r="E20" cm="1">
        <f t="array" ref="E20">IF($A20&lt;=DATE4,SUM(IF((INDEX(INDICES,,1)=$A20)*(INDEX(INDICES,5,)=E$14),INDEX(INDICES,,),0)),NA())</f>
        <v>140.4</v>
      </c>
      <c r="F20" cm="1">
        <f t="array" ref="F20">IF($A20&lt;=DATE4,SUM(IF((INDEX(INDICES,,1)=$A20)*(INDEX(INDICES,5,)=F$14),INDEX(INDICES,,),0)),NA())</f>
        <v>143.4</v>
      </c>
      <c r="G20" cm="1">
        <f t="array" ref="G20">IF($A20&lt;=DATE4,SUM(IF((INDEX(INDICES,,1)=$A20)*(INDEX(INDICES,5,)=G$14),INDEX(INDICES,,),0)),NA())</f>
        <v>131.69999999999999</v>
      </c>
      <c r="H20" cm="1">
        <f t="array" ref="H20">IF($A20&lt;=DATE4,SUM(IF((INDEX(INDICES,,1)=$A20)*(INDEX(INDICES,5,)=H$14),INDEX(INDICES,,),0)),NA())</f>
        <v>86.4</v>
      </c>
      <c r="K20" t="str">
        <v>Transports routiers</v>
      </c>
      <c r="L20" s="38">
        <v>0.01</v>
      </c>
      <c r="M20" t="str">
        <v>Frais divers</v>
      </c>
      <c r="N20">
        <v>0.01</v>
      </c>
      <c r="P20" t="s">
        <v>51</v>
      </c>
      <c r="Q20" t="str">
        <v>Frais divers</v>
      </c>
      <c r="R20" s="20">
        <v>1.2328383300644452E-2</v>
      </c>
      <c r="S20" s="20">
        <v>1.3943112102621225E-3</v>
      </c>
    </row>
    <row r="21" spans="1:19">
      <c r="A21" s="1">
        <f t="shared" si="0"/>
        <v>45962</v>
      </c>
      <c r="B21" cm="1">
        <f t="array" ref="B21">IF(A21&lt;=DATE3,SUM(IF((INDEX(INDEX,,1)=A21)*(INDEX(INDEX,3,)="TP01"),INDEX(INDEX,,),0)),"")</f>
        <v>130.80000000000001</v>
      </c>
      <c r="C21" s="33" cm="1">
        <f t="array" ref="C21">IF(A21&lt;=DATE3,SUM(IF((INDEX(INDEX,,1)=A21)*(INDEX(INDEX,3,)=C14),INDEX(INDEX,,),0)),"")</f>
        <v>135.80000000000001</v>
      </c>
      <c r="D21" cm="1">
        <f t="array" ref="D21">IF($A21&lt;=DATE4,SUM(IF((INDEX(INDICES,,1)=$A21)*(INDEX(INDICES,5,)=D$14),INDEX(INDICES,,),0)),NA())</f>
        <v>126.2</v>
      </c>
      <c r="E21" cm="1">
        <f t="array" ref="E21">IF($A21&lt;=DATE4,SUM(IF((INDEX(INDICES,,1)=$A21)*(INDEX(INDICES,5,)=E$14),INDEX(INDICES,,),0)),NA())</f>
        <v>141.1</v>
      </c>
      <c r="F21" cm="1">
        <f t="array" ref="F21">IF($A21&lt;=DATE4,SUM(IF((INDEX(INDICES,,1)=$A21)*(INDEX(INDICES,5,)=F$14),INDEX(INDICES,,),0)),NA())</f>
        <v>149.6</v>
      </c>
      <c r="G21" cm="1">
        <f t="array" ref="G21">IF($A21&lt;=DATE4,SUM(IF((INDEX(INDICES,,1)=$A21)*(INDEX(INDICES,5,)=G$14),INDEX(INDICES,,),0)),NA())</f>
        <v>131.6</v>
      </c>
      <c r="H21" cm="1">
        <f t="array" ref="H21">IF($A21&lt;=DATE4,SUM(IF((INDEX(INDICES,,1)=$A21)*(INDEX(INDICES,5,)=H$14),INDEX(INDICES,,),0)),NA())</f>
        <v>85.7</v>
      </c>
      <c r="K21" t="str">
        <v>Travail activités spécialisées</v>
      </c>
      <c r="L21" s="38">
        <v>0</v>
      </c>
      <c r="M21" t="str">
        <v>Transports routiers</v>
      </c>
      <c r="N21">
        <v>0.01</v>
      </c>
      <c r="P21" t="s">
        <v>52</v>
      </c>
      <c r="Q21" t="str">
        <v>Transports routiers</v>
      </c>
      <c r="R21" s="20">
        <v>1.9373673036093386E-2</v>
      </c>
      <c r="S21" s="20">
        <v>1.1566072852964737E-2</v>
      </c>
    </row>
    <row r="22" spans="1:19">
      <c r="A22" s="1">
        <f t="shared" si="0"/>
        <v>45992</v>
      </c>
      <c r="B22" cm="1">
        <f t="array" ref="B22">IF(A22&lt;=DATE3,SUM(IF((INDEX(INDEX,,1)=A22)*(INDEX(INDEX,3,)="TP01"),INDEX(INDEX,,),0)),"")</f>
        <v>130.30000000000001</v>
      </c>
      <c r="C22" s="33" cm="1">
        <f t="array" ref="C22">IF(A22&lt;=DATE3,SUM(IF((INDEX(INDEX,,1)=A22)*(INDEX(INDEX,3,)=C14),INDEX(INDEX,,),0)),"")</f>
        <v>136.1</v>
      </c>
      <c r="D22" cm="1">
        <f t="array" ref="D22">IF($A22&lt;=DATE4,SUM(IF((INDEX(INDICES,,1)=$A22)*(INDEX(INDICES,5,)=D$14),INDEX(INDICES,,),0)),NA())</f>
        <v>125.5</v>
      </c>
      <c r="E22" cm="1">
        <f t="array" ref="E22">IF($A22&lt;=DATE4,SUM(IF((INDEX(INDICES,,1)=$A22)*(INDEX(INDICES,5,)=E$14),INDEX(INDICES,,),0)),NA())</f>
        <v>141.80000000000001</v>
      </c>
      <c r="F22" cm="1">
        <f t="array" ref="F22">IF($A22&lt;=DATE4,SUM(IF((INDEX(INDICES,,1)=$A22)*(INDEX(INDICES,5,)=F$14),INDEX(INDICES,,),0)),NA())</f>
        <v>136.69999999999999</v>
      </c>
      <c r="G22" cm="1">
        <f t="array" ref="G22">IF($A22&lt;=DATE4,SUM(IF((INDEX(INDICES,,1)=$A22)*(INDEX(INDICES,5,)=G$14),INDEX(INDICES,,),0)),NA())</f>
        <v>131.19999999999999</v>
      </c>
      <c r="H22" cm="1">
        <f t="array" ref="H22">IF($A22&lt;=DATE4,SUM(IF((INDEX(INDICES,,1)=$A22)*(INDEX(INDICES,5,)=H$14),INDEX(INDICES,,),0)),NA())</f>
        <v>85.6</v>
      </c>
      <c r="K22" t="str">
        <v>Électricité vendue aux entreprises consommatrices finales</v>
      </c>
      <c r="L22" s="38">
        <v>0.01</v>
      </c>
      <c r="M22" t="str">
        <v>Électricité vendue aux entreprises consommatrices finales</v>
      </c>
      <c r="N22">
        <v>0.01</v>
      </c>
      <c r="P22">
        <v>10764291</v>
      </c>
      <c r="Q22" t="str">
        <v>Électricité vendue aux entreprises consommatrices finales</v>
      </c>
      <c r="R22" s="20">
        <v>-0.16633266533066127</v>
      </c>
      <c r="S22" s="20">
        <v>0.28211116300794026</v>
      </c>
    </row>
    <row r="23" spans="1:19">
      <c r="A23" s="1">
        <f t="shared" si="0"/>
        <v>46023</v>
      </c>
      <c r="B23" cm="1">
        <f t="array" ref="B23">IF(A23&lt;=DATE3,SUM(IF((INDEX(INDEX,,1)=A23)*(INDEX(INDEX,3,)="TP01"),INDEX(INDEX,,),0)),"")</f>
        <v>131.4</v>
      </c>
      <c r="C23" s="33" cm="1">
        <f t="array" ref="C23">IF(A23&lt;=DATE3,SUM(IF((INDEX(INDEX,,1)=A23)*(INDEX(INDEX,3,)=C14),INDEX(INDEX,,),0)),"")</f>
        <v>137.5</v>
      </c>
      <c r="D23" cm="1">
        <f t="array" ref="D23">IF($A23&lt;=DATE4,SUM(IF((INDEX(INDICES,,1)=$A23)*(INDEX(INDICES,5,)=D$14),INDEX(INDICES,,),0)),NA())</f>
        <v>127.6</v>
      </c>
      <c r="E23" cm="1">
        <f t="array" ref="E23">IF($A23&lt;=DATE4,SUM(IF((INDEX(INDICES,,1)=$A23)*(INDEX(INDICES,5,)=E$14),INDEX(INDICES,,),0)),NA())</f>
        <v>142.19999999999999</v>
      </c>
      <c r="F23" cm="1">
        <f t="array" ref="F23">IF($A23&lt;=DATE4,SUM(IF((INDEX(INDICES,,1)=$A23)*(INDEX(INDICES,5,)=F$14),INDEX(INDICES,,),0)),NA())</f>
        <v>159</v>
      </c>
      <c r="G23" cm="1">
        <f t="array" ref="G23">IF($A23&lt;=DATE4,SUM(IF((INDEX(INDICES,,1)=$A23)*(INDEX(INDICES,5,)=G$14),INDEX(INDICES,,),0)),NA())</f>
        <v>133.4</v>
      </c>
      <c r="H23" cm="1">
        <f t="array" ref="H23">IF($A23&lt;=DATE4,SUM(IF((INDEX(INDICES,,1)=$A23)*(INDEX(INDICES,5,)=H$14),INDEX(INDICES,,),0)),NA())</f>
        <v>85.4</v>
      </c>
      <c r="K23" t="str">
        <v>Gaz naturel</v>
      </c>
      <c r="L23" s="38">
        <v>0</v>
      </c>
      <c r="M23" t="str">
        <v>Tubes, tuyaux en matière plastique</v>
      </c>
      <c r="N23">
        <v>0.01</v>
      </c>
      <c r="P23">
        <v>10764297</v>
      </c>
      <c r="Q23" t="str">
        <v>Gaz naturel</v>
      </c>
      <c r="R23" s="20">
        <v>0.43821712268314217</v>
      </c>
      <c r="S23" s="20">
        <v>0.13800205973223489</v>
      </c>
    </row>
    <row r="24" spans="1:19">
      <c r="A24" s="1">
        <f t="shared" si="0"/>
        <v>46054</v>
      </c>
      <c r="B24" cm="1">
        <f t="array" ref="B24">IF(A24&lt;=DATE3,SUM(IF((INDEX(INDEX,,1)=A24)*(INDEX(INDEX,3,)="TP01"),INDEX(INDEX,,),0)),"")</f>
        <v>132.19999999999999</v>
      </c>
      <c r="C24" s="33" cm="1">
        <f t="array" ref="C24">IF(A24&lt;=DATE3,SUM(IF((INDEX(INDEX,,1)=A24)*(INDEX(INDEX,3,)=C14),INDEX(INDEX,,),0)),"")</f>
        <v>137.5</v>
      </c>
      <c r="D24" cm="1">
        <f t="array" ref="D24">IF($A24&lt;=DATE4,SUM(IF((INDEX(INDICES,,1)=$A24)*(INDEX(INDICES,5,)=D$14),INDEX(INDICES,,),0)),NA())</f>
        <v>125.9</v>
      </c>
      <c r="E24" cm="1">
        <f t="array" ref="E24">IF($A24&lt;=DATE4,SUM(IF((INDEX(INDICES,,1)=$A24)*(INDEX(INDICES,5,)=E$14),INDEX(INDICES,,),0)),NA())</f>
        <v>142.6</v>
      </c>
      <c r="F24" cm="1">
        <f t="array" ref="F24">IF($A24&lt;=DATE4,SUM(IF((INDEX(INDICES,,1)=$A24)*(INDEX(INDICES,5,)=F$14),INDEX(INDICES,,),0)),NA())</f>
        <v>162.4</v>
      </c>
      <c r="G24" cm="1">
        <f t="array" ref="G24">IF($A24&lt;=DATE4,SUM(IF((INDEX(INDICES,,1)=$A24)*(INDEX(INDICES,5,)=G$14),INDEX(INDICES,,),0)),NA())</f>
        <v>133.4</v>
      </c>
      <c r="H24" cm="1">
        <f t="array" ref="H24">IF($A24&lt;=DATE4,SUM(IF((INDEX(INDICES,,1)=$A24)*(INDEX(INDICES,5,)=H$14),INDEX(INDICES,,),0)),NA())</f>
        <v>85.9</v>
      </c>
      <c r="K24" t="str">
        <v>Gazole routier HTT</v>
      </c>
      <c r="L24" s="38">
        <v>0</v>
      </c>
      <c r="M24" t="str">
        <v>Ensemble des produits du sciage</v>
      </c>
      <c r="N24">
        <v>0.01</v>
      </c>
      <c r="P24" t="s">
        <v>55</v>
      </c>
      <c r="Q24" t="str">
        <v>Gazole routier HTT</v>
      </c>
      <c r="R24" s="20">
        <v>0.57121933130039126</v>
      </c>
      <c r="S24" s="20">
        <v>0.30464311328091953</v>
      </c>
    </row>
    <row r="25" spans="1:19">
      <c r="A25" s="1">
        <f t="shared" si="0"/>
        <v>46082</v>
      </c>
      <c r="B25" cm="1">
        <f t="array" ref="B25">IF(A25&lt;=DATE3,SUM(IF((INDEX(INDEX,,1)=A25)*(INDEX(INDEX,3,)="TP01"),INDEX(INDEX,,),0)),"")</f>
        <v>136.30000000000001</v>
      </c>
      <c r="C25" s="33" cm="1">
        <f t="array" ref="C25">IF(A25&lt;=DATE3,SUM(IF((INDEX(INDEX,,1)=A25)*(INDEX(INDEX,3,)=C14),INDEX(INDEX,,),0)),"")</f>
        <v>138.9</v>
      </c>
      <c r="D25" cm="1">
        <f t="array" ref="D25">IF($A25&lt;=DATE4,SUM(IF((INDEX(INDICES,,1)=$A25)*(INDEX(INDICES,5,)=D$14),INDEX(INDICES,,),0)),NA())</f>
        <v>126.5</v>
      </c>
      <c r="E25" cm="1">
        <f t="array" ref="E25">IF($A25&lt;=DATE4,SUM(IF((INDEX(INDICES,,1)=$A25)*(INDEX(INDICES,5,)=E$14),INDEX(INDICES,,),0)),NA())</f>
        <v>143</v>
      </c>
      <c r="F25" cm="1">
        <f t="array" ref="F25">IF($A25&lt;=DATE4,SUM(IF((INDEX(INDICES,,1)=$A25)*(INDEX(INDICES,5,)=F$14),INDEX(INDICES,,),0)),NA())</f>
        <v>224.3</v>
      </c>
      <c r="G25" cm="1">
        <f t="array" ref="G25">IF($A25&lt;=DATE4,SUM(IF((INDEX(INDICES,,1)=$A25)*(INDEX(INDICES,5,)=G$14),INDEX(INDICES,,),0)),NA())</f>
        <v>133.69999999999999</v>
      </c>
      <c r="H25" cm="1">
        <f t="array" ref="H25">IF($A25&lt;=DATE4,SUM(IF((INDEX(INDICES,,1)=$A25)*(INDEX(INDICES,5,)=H$14),INDEX(INDICES,,),0)),NA())</f>
        <v>87.6</v>
      </c>
      <c r="K25" t="str">
        <v>Tubes, tuyaux en matière plastique</v>
      </c>
      <c r="L25" s="38">
        <v>0.01</v>
      </c>
      <c r="M25" t="str">
        <v>Traitement et élimination des déchets non dangereux</v>
      </c>
      <c r="N25">
        <v>0.01</v>
      </c>
      <c r="P25">
        <v>10763845</v>
      </c>
      <c r="Q25" t="str">
        <v>Tubes, tuyaux en matière plastique</v>
      </c>
      <c r="R25" s="20">
        <v>9.468438538205981E-2</v>
      </c>
      <c r="S25" s="20">
        <v>3.3776028857189777E-2</v>
      </c>
    </row>
    <row r="26" spans="1:19">
      <c r="A26" s="1">
        <f t="shared" si="0"/>
        <v>46113</v>
      </c>
      <c r="B26" cm="1">
        <f t="array" ref="B26">IF(A26&lt;=DATE3,SUM(IF((INDEX(INDEX,,1)=A26)*(INDEX(INDEX,3,)="TP01"),INDEX(INDEX,,),0)),"")</f>
        <v>141</v>
      </c>
      <c r="C26" s="33" cm="1">
        <f t="array" ref="C26">IF(A26&lt;=DATE3,SUM(IF((INDEX(INDEX,,1)=A26)*(INDEX(INDEX,3,)=C14),INDEX(INDEX,,),0)),"")</f>
        <v>140.69999999999999</v>
      </c>
      <c r="D26" cm="1">
        <f t="array" ref="D26">IF($A26&lt;=DATE4,SUM(IF((INDEX(INDICES,,1)=$A26)*(INDEX(INDICES,5,)=D$14),INDEX(INDICES,,),0)),NA())</f>
        <v>128.1</v>
      </c>
      <c r="E26" cm="1">
        <f t="array" ref="E26">IF($A26&lt;=DATE4,SUM(IF((INDEX(INDICES,,1)=$A26)*(INDEX(INDICES,5,)=E$14),INDEX(INDICES,,),0)),NA())</f>
        <v>143</v>
      </c>
      <c r="F26" cm="1">
        <f t="array" ref="F26">IF($A26&lt;=DATE4,SUM(IF((INDEX(INDICES,,1)=$A26)*(INDEX(INDICES,5,)=F$14),INDEX(INDICES,,),0)),NA())</f>
        <v>230.3</v>
      </c>
      <c r="G26" cm="1">
        <f t="array" ref="G26">IF($A26&lt;=DATE4,SUM(IF((INDEX(INDICES,,1)=$A26)*(INDEX(INDICES,5,)=G$14),INDEX(INDICES,,),0)),NA())</f>
        <v>137.5</v>
      </c>
      <c r="H26" cm="1">
        <f t="array" ref="H26">IF($A26&lt;=DATE4,SUM(IF((INDEX(INDICES,,1)=$A26)*(INDEX(INDICES,5,)=H$14),INDEX(INDICES,,),0)),NA())</f>
        <v>91.3</v>
      </c>
      <c r="K26" t="str">
        <v>Ensemble des produits du sciage</v>
      </c>
      <c r="L26" s="38">
        <v>0.01</v>
      </c>
      <c r="M26" t="str">
        <v>Gazole</v>
      </c>
      <c r="N26">
        <v>0</v>
      </c>
      <c r="P26" t="s">
        <v>283</v>
      </c>
      <c r="Q26" t="str">
        <v>Ensemble des produits du sciage</v>
      </c>
      <c r="R26" s="20">
        <v>3.2116788321168155E-3</v>
      </c>
      <c r="S26" s="20">
        <v>9.415918787700539E-3</v>
      </c>
    </row>
    <row r="27" spans="1:19">
      <c r="A27" s="1">
        <f t="shared" si="0"/>
        <v>46143</v>
      </c>
      <c r="B27" cm="1">
        <f t="array" ref="B27">IF(A27&lt;=DATE3,SUM(IF((INDEX(INDEX,,1)=A27)*(INDEX(INDEX,3,)="TP01"),INDEX(INDEX,,),0)),"")</f>
        <v>140.4</v>
      </c>
      <c r="C27" s="33" cm="1">
        <f t="array" ref="C27">IF(A27&lt;=DATE3,SUM(IF((INDEX(INDEX,,1)=A27)*(INDEX(INDEX,3,)=C14),INDEX(INDEX,,),0)),"")</f>
        <v>141</v>
      </c>
      <c r="D27" cm="1">
        <f t="array" ref="D27">IF($A27&lt;=DATE4,SUM(IF((INDEX(INDICES,,1)=$A27)*(INDEX(INDICES,5,)=D$14),INDEX(INDICES,,),0)),NA())</f>
        <v>127.8</v>
      </c>
      <c r="E27" cm="1">
        <f t="array" ref="E27">IF($A27&lt;=DATE4,SUM(IF((INDEX(INDICES,,1)=$A27)*(INDEX(INDICES,5,)=E$14),INDEX(INDICES,,),0)),NA())</f>
        <v>143</v>
      </c>
      <c r="F27" cm="1">
        <f t="array" ref="F27">IF($A27&lt;=DATE4,SUM(IF((INDEX(INDICES,,1)=$A27)*(INDEX(INDICES,5,)=F$14),INDEX(INDICES,,),0)),NA())</f>
        <v>212.8</v>
      </c>
      <c r="G27" cm="1">
        <f t="array" ref="G27">IF($A27&lt;=DATE4,SUM(IF((INDEX(INDICES,,1)=$A27)*(INDEX(INDICES,5,)=G$14),INDEX(INDICES,,),0)),NA())</f>
        <v>136.5</v>
      </c>
      <c r="H27" cm="1">
        <f t="array" ref="H27">IF($A27&lt;=DATE4,SUM(IF((INDEX(INDICES,,1)=$A27)*(INDEX(INDICES,5,)=H$14),INDEX(INDICES,,),0)),NA())</f>
        <v>95.4</v>
      </c>
      <c r="K27" t="str">
        <v>Béton prêt à l'emploi</v>
      </c>
      <c r="L27" s="38">
        <v>0.12</v>
      </c>
      <c r="M27" t="str">
        <v>Travail activités spécialisées</v>
      </c>
      <c r="N27">
        <v>0</v>
      </c>
      <c r="P27">
        <v>10764180</v>
      </c>
      <c r="Q27" t="str">
        <v>Béton prêt à l'emploi</v>
      </c>
      <c r="R27" s="20">
        <v>2.4371859296482334E-2</v>
      </c>
      <c r="S27" s="20">
        <v>2.077790447231731E-2</v>
      </c>
    </row>
    <row r="28" spans="1:19">
      <c r="A28" s="1"/>
      <c r="K28" t="str">
        <v>Barres crénelées ou nervurées pour béton armé</v>
      </c>
      <c r="L28" s="38">
        <v>0.1</v>
      </c>
      <c r="M28" t="str">
        <v>Gaz naturel</v>
      </c>
      <c r="N28">
        <v>0</v>
      </c>
      <c r="P28">
        <v>10766236</v>
      </c>
      <c r="Q28" t="str">
        <v>Barres crénelées ou nervurées pour béton armé</v>
      </c>
      <c r="R28" s="20">
        <v>6.7730634488127661E-2</v>
      </c>
      <c r="S28" s="20">
        <v>1.0654490106544845E-2</v>
      </c>
    </row>
    <row r="29" spans="1:19">
      <c r="A29" s="1"/>
      <c r="K29" t="str">
        <v>Sables et granulats</v>
      </c>
      <c r="L29" s="38">
        <v>0</v>
      </c>
      <c r="M29" t="str">
        <v>Gazole routier HTT</v>
      </c>
      <c r="N29">
        <v>0</v>
      </c>
      <c r="P29">
        <v>10765500</v>
      </c>
      <c r="Q29" t="str">
        <v>Sables et granulats</v>
      </c>
      <c r="R29" s="20">
        <v>2.3050654524758185E-2</v>
      </c>
      <c r="S29" s="20">
        <v>2.302489566844157E-2</v>
      </c>
    </row>
    <row r="30" spans="1:19">
      <c r="A30" s="1"/>
      <c r="K30" t="str">
        <v>Plaques, feuilles, tubes et profilés en matières plastiques</v>
      </c>
      <c r="L30" s="38">
        <v>0</v>
      </c>
      <c r="M30" t="str">
        <v>Sables et granulats</v>
      </c>
      <c r="N30">
        <v>0</v>
      </c>
      <c r="P30">
        <v>10764160</v>
      </c>
      <c r="Q30" t="str">
        <v>Plaques, feuilles, tubes et profilés en matières plastiques</v>
      </c>
      <c r="R30" s="20">
        <v>7.6504481434058746E-2</v>
      </c>
      <c r="S30" s="20">
        <v>1.5021123454858287E-2</v>
      </c>
    </row>
    <row r="31" spans="1:19">
      <c r="A31" s="1"/>
      <c r="K31" t="str">
        <v>Ciment, chaux et plâtre</v>
      </c>
      <c r="L31" s="38">
        <v>0</v>
      </c>
      <c r="M31" t="str">
        <v>Plaques, feuilles, tubes et profilés en matières plastiques</v>
      </c>
      <c r="N31">
        <v>0</v>
      </c>
      <c r="P31">
        <v>10764176</v>
      </c>
      <c r="Q31" t="str">
        <v>Ciment, chaux et plâtre</v>
      </c>
      <c r="R31" s="20">
        <v>1.4905149051490652E-2</v>
      </c>
      <c r="S31" s="20">
        <v>3.3595922150138957E-2</v>
      </c>
    </row>
    <row r="32" spans="1:19">
      <c r="A32" s="1"/>
      <c r="K32" t="str">
        <v>Autres produits chimiques</v>
      </c>
      <c r="L32" s="38">
        <v>0</v>
      </c>
      <c r="M32" t="str">
        <v>Ciment, chaux et plâtre</v>
      </c>
      <c r="N32">
        <v>0</v>
      </c>
      <c r="P32" s="168">
        <v>10764149</v>
      </c>
      <c r="Q32" t="str">
        <v>Autres produits chimiques</v>
      </c>
      <c r="R32" s="20">
        <v>3.4441449535789204E-2</v>
      </c>
      <c r="S32" s="20">
        <v>3.9957134109001924E-2</v>
      </c>
    </row>
    <row r="33" spans="1:19">
      <c r="A33" s="1"/>
      <c r="K33" t="str">
        <v>Acier pour la construction</v>
      </c>
      <c r="L33" s="38">
        <v>0</v>
      </c>
      <c r="M33" t="str">
        <v>Autres produits chimiques</v>
      </c>
      <c r="N33">
        <v>0</v>
      </c>
      <c r="P33">
        <v>10765837</v>
      </c>
      <c r="Q33" t="str">
        <v>Acier pour la construction</v>
      </c>
      <c r="R33" s="20">
        <v>1.0328292143120477E-2</v>
      </c>
      <c r="S33" s="20">
        <v>-6.1998541210794844E-3</v>
      </c>
    </row>
    <row r="34" spans="1:19">
      <c r="A34" s="1"/>
      <c r="K34" t="str">
        <v>Bitume</v>
      </c>
      <c r="L34" s="38">
        <v>0</v>
      </c>
      <c r="M34" t="str">
        <v>Acier pour la construction</v>
      </c>
      <c r="N34">
        <v>0</v>
      </c>
      <c r="P34">
        <v>10764136</v>
      </c>
      <c r="Q34" t="str">
        <v>Bitume</v>
      </c>
      <c r="R34" s="20">
        <v>0.3837288135593222</v>
      </c>
      <c r="S34" s="20">
        <v>4.689593568557382E-2</v>
      </c>
    </row>
    <row r="35" spans="1:19">
      <c r="A35" s="1"/>
      <c r="K35" t="str">
        <v>Produits de voierie en béton</v>
      </c>
      <c r="L35" s="38">
        <v>0</v>
      </c>
      <c r="M35" t="str">
        <v>Bitume</v>
      </c>
      <c r="N35">
        <v>0</v>
      </c>
      <c r="P35">
        <v>10763871</v>
      </c>
      <c r="Q35" t="str">
        <v>Produits de voierie en béton</v>
      </c>
      <c r="R35" s="20">
        <v>-3.3995815899581561E-2</v>
      </c>
      <c r="S35" s="20">
        <v>-4.4605413648494019E-2</v>
      </c>
    </row>
    <row r="36" spans="1:19">
      <c r="A36" s="1"/>
      <c r="K36" t="str">
        <v>Mortiers et bétons secs</v>
      </c>
      <c r="L36" s="38">
        <v>0</v>
      </c>
      <c r="M36" t="str">
        <v>Produits de voierie en béton</v>
      </c>
      <c r="N36">
        <v>0</v>
      </c>
      <c r="P36">
        <v>10764181</v>
      </c>
      <c r="Q36" t="str">
        <v>Mortiers et bétons secs</v>
      </c>
      <c r="R36" s="20">
        <v>2.4890190336749551E-2</v>
      </c>
      <c r="S36" s="20">
        <v>7.5768614308611149E-3</v>
      </c>
    </row>
    <row r="37" spans="1:19">
      <c r="A37" s="1"/>
      <c r="K37" t="str">
        <v>Travaux de fonderie de fonte</v>
      </c>
      <c r="L37" s="38">
        <v>0</v>
      </c>
      <c r="M37" t="str">
        <v>Mortiers et bétons secs</v>
      </c>
      <c r="N37">
        <v>0</v>
      </c>
      <c r="P37">
        <v>10764195</v>
      </c>
      <c r="Q37" t="str">
        <v>Travaux de fonderie de fonte</v>
      </c>
      <c r="R37" s="20">
        <v>2.5006512112529355E-2</v>
      </c>
      <c r="S37" s="20">
        <v>5.9523809523811533E-3</v>
      </c>
    </row>
    <row r="38" spans="1:19">
      <c r="A38" s="1"/>
      <c r="K38" t="str">
        <v>Tuiles, briques et produits de construction en terre cuite</v>
      </c>
      <c r="L38" s="38">
        <v>0</v>
      </c>
      <c r="M38" t="str">
        <v>Travaux de fonderie de fonte</v>
      </c>
      <c r="N38">
        <v>0</v>
      </c>
      <c r="P38">
        <v>10764172</v>
      </c>
      <c r="Q38" t="str">
        <v>Tuiles, briques et produits de construction en terre cuite</v>
      </c>
      <c r="R38" s="20">
        <v>6.4377682403433667E-3</v>
      </c>
      <c r="S38" s="20">
        <v>3.8172491947989773E-3</v>
      </c>
    </row>
    <row r="39" spans="1:19">
      <c r="A39" s="1"/>
      <c r="K39" t="str">
        <v>Réseaux d’assainissement</v>
      </c>
      <c r="L39" s="38">
        <v>0</v>
      </c>
      <c r="M39" t="str">
        <v>Tuiles, briques et produits de construction en terre cuite</v>
      </c>
      <c r="N39">
        <v>0</v>
      </c>
      <c r="P39">
        <v>10766292</v>
      </c>
      <c r="Q39" t="str">
        <v>Réseaux d’assainissement</v>
      </c>
      <c r="R39" s="20">
        <v>1.1071060762101181E-2</v>
      </c>
      <c r="S39" s="20">
        <v>1.4020511489029941E-2</v>
      </c>
    </row>
    <row r="40" spans="1:19">
      <c r="A40" s="1"/>
      <c r="K40" t="str">
        <v>Autres textiles</v>
      </c>
      <c r="L40" s="38">
        <v>0</v>
      </c>
      <c r="M40" t="str">
        <v>Réseaux d’assainissement</v>
      </c>
      <c r="N40">
        <v>0</v>
      </c>
      <c r="P40">
        <v>10764101</v>
      </c>
      <c r="Q40" t="str">
        <v>Autres textiles</v>
      </c>
      <c r="R40" s="20">
        <v>8.7768969422423737E-3</v>
      </c>
      <c r="S40" s="20">
        <v>1.3716245177882502E-2</v>
      </c>
    </row>
    <row r="41" spans="1:19">
      <c r="A41" s="1"/>
      <c r="K41" t="str">
        <v>Matières plastiques sous formes primaires</v>
      </c>
      <c r="L41" s="38">
        <v>0</v>
      </c>
      <c r="M41" t="str">
        <v>Autres textiles</v>
      </c>
      <c r="N41">
        <v>0</v>
      </c>
      <c r="P41">
        <v>10764143</v>
      </c>
      <c r="Q41" t="str">
        <v>Matières plastiques sous formes primaires</v>
      </c>
      <c r="R41" s="20">
        <v>0.31210443037974689</v>
      </c>
      <c r="S41" s="20">
        <v>9.3545369504209441E-2</v>
      </c>
    </row>
    <row r="42" spans="1:19">
      <c r="A42" s="1"/>
      <c r="K42" t="str">
        <v>Tubes, tuyaux, profilés creux et accessoires correspondants en acier</v>
      </c>
      <c r="L42" s="38">
        <v>0</v>
      </c>
      <c r="M42" t="str">
        <v>Matières plastiques sous formes primaires</v>
      </c>
      <c r="N42">
        <v>0</v>
      </c>
      <c r="P42">
        <v>10764187</v>
      </c>
      <c r="Q42" t="str">
        <v>Tubes, tuyaux, profilés creux et accessoires correspondants en acier</v>
      </c>
      <c r="R42" s="20">
        <v>1.4539579967689953E-2</v>
      </c>
      <c r="S42" s="20">
        <v>2.6478254904650722E-2</v>
      </c>
    </row>
    <row r="43" spans="1:19">
      <c r="A43" s="1"/>
      <c r="K43" t="str">
        <v>Éléments en béton pour la construction</v>
      </c>
      <c r="L43" s="38">
        <v>0</v>
      </c>
      <c r="M43" t="str">
        <v>Tubes, tuyaux, profilés creux et accessoires correspondants en acier</v>
      </c>
      <c r="N43">
        <v>0</v>
      </c>
      <c r="P43">
        <v>10764179</v>
      </c>
      <c r="Q43" t="str">
        <v>Éléments en béton pour la construction</v>
      </c>
      <c r="R43" s="20">
        <v>-3.9347948285554102E-3</v>
      </c>
      <c r="S43" s="20">
        <v>-2.8081999438359651E-3</v>
      </c>
    </row>
    <row r="44" spans="1:19">
      <c r="A44" s="1"/>
      <c r="K44" t="str">
        <v>Fils et câbles d'énergie</v>
      </c>
      <c r="L44" s="38">
        <v>0</v>
      </c>
      <c r="M44" t="str">
        <v>Éléments en béton pour la construction</v>
      </c>
      <c r="N44">
        <v>0</v>
      </c>
      <c r="P44">
        <v>10763930</v>
      </c>
      <c r="Q44" t="str">
        <v>Fils et câbles d'énergie</v>
      </c>
      <c r="R44" s="20">
        <v>3.7882589061716043E-2</v>
      </c>
      <c r="S44" s="20">
        <v>8.2056747036099775E-2</v>
      </c>
    </row>
    <row r="45" spans="1:19">
      <c r="A45" s="1"/>
      <c r="K45" t="str">
        <v>Moteurs, génératrices, transfo. électr., matér. distrib., cmde électr.</v>
      </c>
      <c r="L45" s="38">
        <v>0</v>
      </c>
      <c r="M45" t="str">
        <v>Fils et câbles d'énergie</v>
      </c>
      <c r="N45">
        <v>0</v>
      </c>
      <c r="P45">
        <v>10764223</v>
      </c>
      <c r="Q45" t="str">
        <v>Moteurs, génératrices, transfo. électr., matér. distrib., cmde électr.</v>
      </c>
      <c r="R45" s="20">
        <v>3.3307107264620939E-2</v>
      </c>
      <c r="S45" s="20">
        <v>6.5265182742511696E-2</v>
      </c>
    </row>
    <row r="46" spans="1:19">
      <c r="A46" s="1"/>
      <c r="K46" t="str">
        <v>Matériel de distribution et de commande électrique</v>
      </c>
      <c r="L46" s="38">
        <v>0</v>
      </c>
      <c r="M46" t="str">
        <v>Moteurs, génératrices, transfo. électr., matér. distrib., cmde électr.</v>
      </c>
      <c r="N46">
        <v>0</v>
      </c>
      <c r="P46">
        <v>10764224</v>
      </c>
      <c r="Q46" t="str">
        <v>Matériel de distribution et de commande électrique</v>
      </c>
      <c r="R46" s="20">
        <v>5.9339008512769187E-2</v>
      </c>
      <c r="S46" s="20">
        <v>9.5352243973898076E-2</v>
      </c>
    </row>
    <row r="47" spans="1:19">
      <c r="A47" s="1"/>
      <c r="K47" t="str">
        <v>Appareils d'éclairage électrique</v>
      </c>
      <c r="L47" s="38">
        <v>0</v>
      </c>
      <c r="M47" t="str">
        <v>Matériel de distribution et de commande électrique</v>
      </c>
      <c r="N47">
        <v>0</v>
      </c>
      <c r="P47">
        <v>10764228</v>
      </c>
      <c r="Q47" t="str">
        <v>Appareils d'éclairage électrique</v>
      </c>
      <c r="R47" s="20">
        <v>2.0012706480305065E-2</v>
      </c>
      <c r="S47" s="20">
        <v>-1.1041990668740342E-2</v>
      </c>
    </row>
    <row r="48" spans="1:19">
      <c r="A48" s="1"/>
      <c r="E48" s="42"/>
      <c r="K48" t="str">
        <v>Câbles de fibres optiques</v>
      </c>
      <c r="L48" s="38">
        <v>0</v>
      </c>
      <c r="M48" t="str">
        <v>Appareils d'éclairage électrique</v>
      </c>
      <c r="N48">
        <v>0</v>
      </c>
      <c r="P48">
        <v>10764834</v>
      </c>
      <c r="Q48" t="str">
        <v>Câbles de fibres optiques</v>
      </c>
      <c r="R48" s="20">
        <v>1.3765182186235014E-2</v>
      </c>
      <c r="S48" s="20">
        <v>2.4183796856105388E-3</v>
      </c>
    </row>
    <row r="49" spans="1:19">
      <c r="A49" s="1"/>
      <c r="E49" s="42"/>
      <c r="K49" t="str">
        <v>Peintures Industries</v>
      </c>
      <c r="L49" s="38">
        <v>0</v>
      </c>
      <c r="M49" t="str">
        <v>Câbles de fibres optiques</v>
      </c>
      <c r="N49">
        <v>0</v>
      </c>
      <c r="P49">
        <v>10763825</v>
      </c>
      <c r="Q49" t="str">
        <v>Peintures Industries</v>
      </c>
      <c r="R49" s="20">
        <v>-2.6168699186991939E-2</v>
      </c>
      <c r="S49" s="20">
        <v>-4.2755051749630457E-2</v>
      </c>
    </row>
    <row r="50" spans="1:19">
      <c r="A50" s="1"/>
      <c r="E50" s="42"/>
      <c r="K50" t="str">
        <v>Produits sidérurgiques en acier non allié</v>
      </c>
      <c r="L50" s="38">
        <v>0</v>
      </c>
      <c r="M50" t="str">
        <v>Peintures Industries</v>
      </c>
      <c r="N50">
        <v>0</v>
      </c>
      <c r="P50">
        <v>10763881</v>
      </c>
      <c r="Q50" t="str">
        <v>Produits sidérurgiques en acier non allié</v>
      </c>
      <c r="R50" s="20">
        <v>6.48745519713263E-2</v>
      </c>
      <c r="S50" s="20">
        <v>3.7831021437578549E-2</v>
      </c>
    </row>
    <row r="51" spans="1:19">
      <c r="A51" s="1"/>
      <c r="E51" s="42"/>
      <c r="K51" t="str">
        <v>Tôles quarto et autres produits plats en aciers non alliés de qualité</v>
      </c>
      <c r="L51" s="38">
        <v>0</v>
      </c>
      <c r="M51" t="str">
        <v>Produits sidérurgiques en acier non allié</v>
      </c>
      <c r="N51">
        <v>0</v>
      </c>
      <c r="P51">
        <v>10765839</v>
      </c>
      <c r="Q51" t="str">
        <v>Tôles quarto et autres produits plats en aciers non alliés de qualité</v>
      </c>
      <c r="R51" s="20">
        <v>5.9586542359140626E-2</v>
      </c>
      <c r="S51" s="20">
        <v>5.4586965545869726E-2</v>
      </c>
    </row>
    <row r="52" spans="1:19">
      <c r="A52" s="1"/>
      <c r="E52" s="42"/>
      <c r="K52" t="str">
        <v>Éléments en métal pour la construction</v>
      </c>
      <c r="L52" s="38">
        <v>0</v>
      </c>
      <c r="M52" t="str">
        <v>Tôles quarto et autres produits plats en aciers non alliés de qualité</v>
      </c>
      <c r="N52">
        <v>0</v>
      </c>
      <c r="P52">
        <v>10764200</v>
      </c>
      <c r="Q52" t="str">
        <v>Traitement et élimination des déchets non dangereux</v>
      </c>
      <c r="R52" s="20">
        <v>3.9414414414415955E-3</v>
      </c>
      <c r="S52" s="20">
        <v>3.2417195207894434E-3</v>
      </c>
    </row>
    <row r="53" spans="1:19">
      <c r="E53" s="42"/>
      <c r="K53" t="str">
        <v>Restaurants et hôtels</v>
      </c>
      <c r="L53" s="38">
        <v>0</v>
      </c>
      <c r="M53" t="str">
        <v>Éléments en métal pour la construction</v>
      </c>
      <c r="N53">
        <v>0</v>
      </c>
      <c r="P53" t="s">
        <v>81</v>
      </c>
      <c r="Q53" t="str">
        <v>Collecte, traitement et élimination des déchets ; récupération de matériaux</v>
      </c>
      <c r="R53" s="20">
        <v>4.5757575757575886E-2</v>
      </c>
      <c r="S53" s="20">
        <v>4.4076708939065901E-2</v>
      </c>
    </row>
    <row r="54" spans="1:19">
      <c r="K54" t="str">
        <v>Traitement et élimination des déchets non dangereux</v>
      </c>
      <c r="L54" s="38">
        <v>0.01</v>
      </c>
      <c r="M54" t="str">
        <v>Restaurants et hôtels</v>
      </c>
      <c r="N54">
        <v>0</v>
      </c>
      <c r="P54">
        <v>10764306</v>
      </c>
      <c r="Q54">
        <v>0</v>
      </c>
      <c r="R54" s="20">
        <v>0</v>
      </c>
      <c r="S54" s="20">
        <v>0</v>
      </c>
    </row>
    <row r="55" spans="1:19">
      <c r="K55" t="str">
        <v>Collecte, traitement et élimination des déchets ; récupération de matériaux</v>
      </c>
      <c r="L55" s="38">
        <v>0</v>
      </c>
      <c r="M55" t="str">
        <v>Collecte, traitement et élimination des déchets ; récupération de matériaux</v>
      </c>
      <c r="N55">
        <v>0</v>
      </c>
      <c r="P55">
        <v>10764301</v>
      </c>
      <c r="Q55">
        <v>0</v>
      </c>
      <c r="R55" s="20">
        <v>0</v>
      </c>
      <c r="S55" s="20">
        <v>0</v>
      </c>
    </row>
  </sheetData>
  <sheetProtection algorithmName="SHA-512" hashValue="PI4YpSuWmz5RtRTVp04u1Asy8GHZY29pHhA2SJv/y51h76asouN5bFS5jBKbg48McBzRJSB/Af2oTp3sSFEhHw==" saltValue="8vLzERdVaa94hfqSjQToVA==" spinCount="100000" sheet="1" autoFilter="0"/>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0 H G M V J v H o G W k A A A A 9 g A A A B I A H A B D b 2 5 m a W c v U G F j a 2 F n Z S 5 4 b W w g o h g A K K A U A A A A A A A A A A A A A A A A A A A A A A A A A A A A h Y + x D o I w G I R f h X S n L X U x 5 K c M J k 6 S G E 2 M a 1 M K N E I x b b G 8 m 4 O P 5 C u I U d T N 8 e 6 + S + 7 u 1 x v k Y 9 d G F 2 W d 7 k 2 G E k x R p I z s S 2 3 q D A 2 + i p c o 5 7 A V 8 i R q F U 2 w c e n o d I Y a 7 8 8 p I S E E H B a 4 t z V h l C b k W G z 2 s l G d i L V x X h i p 0 K d V / m 8 h D o f X G M 5 w Q h l m d N o E Z D a h 0 O Y L s C l 7 p j 8 m r I b W D 1 b x y s b r H Z B Z A n l / 4 A 9 Q S w M E F A A C A A g A 0 H G M 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N B x j F Q o i k e 4 D g A A A B E A A A A T A B w A R m 9 y b X V s Y X M v U 2 V j d G l v b j E u b S C i G A A o o B Q A A A A A A A A A A A A A A A A A A A A A A A A A A A A r T k 0 u y c z P U w i G 0 I b W A F B L A Q I t A B Q A A g A I A N B x j F S b x 6 B l p A A A A P Y A A A A S A A A A A A A A A A A A A A A A A A A A A A B D b 2 5 m a W c v U G F j a 2 F n Z S 5 4 b W x Q S w E C L Q A U A A I A C A D Q c Y x U D 8 r p q 6 Q A A A D p A A A A E w A A A A A A A A A A A A A A A A D w A A A A W 0 N v b n R l b n R f V H l w Z X N d L n h t b F B L A Q I t A B Q A A g A I A N B x j F Q 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D D o 4 c C R 3 m R 4 Y Z l q b 1 d j t 9 A A A A A A I A A A A A A A N m A A D A A A A A E A A A A H h c C W F x S z f 3 D D o d U C L 3 w o s A A A A A B I A A A K A A A A A Q A A A A R x a c 8 M s x e p X O I F n p B v E a d l A A A A B D U U v Q v 1 v 4 g a 1 m F g C 7 B 6 G l 3 5 K S a M G s u + g 1 + X 5 B U X / u / h v l l Q c 3 r s h M E 9 6 i a i l A x Y m D e Z T T r 9 d s L c J S b I y N X e q 1 q y h h V Y q 6 a C q U n 5 Q a N j E y z R Q A A A B Q 6 X p Q v + e 3 0 5 g 9 / / x 2 R l e m a w y c Y A = = < / D a t a M a s h u p > 
</file>

<file path=customXml/itemProps1.xml><?xml version="1.0" encoding="utf-8"?>
<ds:datastoreItem xmlns:ds="http://schemas.openxmlformats.org/officeDocument/2006/customXml" ds:itemID="{86D95715-B505-4EB4-BE4D-97DCD329BED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27</vt:i4>
      </vt:variant>
      <vt:variant>
        <vt:lpstr>Plages nommées</vt:lpstr>
      </vt:variant>
      <vt:variant>
        <vt:i4>17</vt:i4>
      </vt:variant>
    </vt:vector>
  </HeadingPairs>
  <TitlesOfParts>
    <vt:vector size="44" baseType="lpstr">
      <vt:lpstr>A MODIFIER</vt:lpstr>
      <vt:lpstr>INDEX</vt:lpstr>
      <vt:lpstr>INDICES PRIX</vt:lpstr>
      <vt:lpstr>GAZOLE ROUTIER HTT</vt:lpstr>
      <vt:lpstr>FIOUL LOURD</vt:lpstr>
      <vt:lpstr>NOMS INDEX</vt:lpstr>
      <vt:lpstr>COMPOSITION INDEX</vt:lpstr>
      <vt:lpstr>DONNEES CUMULS DEPUIS JANVIER</vt:lpstr>
      <vt:lpstr>DONNEES 3-6 MOIS</vt:lpstr>
      <vt:lpstr>DONNEES DATE A DATE</vt:lpstr>
      <vt:lpstr>CUMULS INDEX</vt:lpstr>
      <vt:lpstr>CUMULS INDICES</vt:lpstr>
      <vt:lpstr>DEPUIS JANVIER</vt:lpstr>
      <vt:lpstr>3-6 MOIS GLISSANTS</vt:lpstr>
      <vt:lpstr>DATE A DATE </vt:lpstr>
      <vt:lpstr>CALCULS DERNIERES EVOL INDICES</vt:lpstr>
      <vt:lpstr>NOTICE D'UTILISATION BAROMETRE</vt:lpstr>
      <vt:lpstr>EVOL INDEX DEPUIS JANVIER</vt:lpstr>
      <vt:lpstr>EVOL INDEX 3-6 MOIS GLISSANTS</vt:lpstr>
      <vt:lpstr>RESULTATS DEPUIS JANVIER</vt:lpstr>
      <vt:lpstr>RESULTATS 3-6 MOIS GLISSANTS</vt:lpstr>
      <vt:lpstr>EVOL INDICES DEPUIS JANVIER</vt:lpstr>
      <vt:lpstr>EVOL INDICES 3-6 MOIS GLISSANTS</vt:lpstr>
      <vt:lpstr>NOTICE OUTIL DATE</vt:lpstr>
      <vt:lpstr>RESULTATS DATE A DATE</vt:lpstr>
      <vt:lpstr>DERNIERES EVOL INDICES</vt:lpstr>
      <vt:lpstr>LIENS</vt:lpstr>
      <vt:lpstr>compo_index</vt:lpstr>
      <vt:lpstr>'DONNEES CUMULS DEPUIS JANVIER'!compomax</vt:lpstr>
      <vt:lpstr>'DONNEES CUMULS DEPUIS JANVIER'!compomax2</vt:lpstr>
      <vt:lpstr>compomax3</vt:lpstr>
      <vt:lpstr>compomax4</vt:lpstr>
      <vt:lpstr>DATE1</vt:lpstr>
      <vt:lpstr>DATE2</vt:lpstr>
      <vt:lpstr>DATE3</vt:lpstr>
      <vt:lpstr>DATE4</vt:lpstr>
      <vt:lpstr>INDEX</vt:lpstr>
      <vt:lpstr>index_choisi</vt:lpstr>
      <vt:lpstr>INDEX2</vt:lpstr>
      <vt:lpstr>indice_compo_max</vt:lpstr>
      <vt:lpstr>indice_compo_max2</vt:lpstr>
      <vt:lpstr>INDICES</vt:lpstr>
      <vt:lpstr>nomsindex</vt:lpstr>
      <vt:lpstr>nomsindextp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Baromètre index - indices</dc:title>
  <dc:creator>GOMEZ Marsha</dc:creator>
  <cp:lastModifiedBy>SARRABIA Cloé</cp:lastModifiedBy>
  <cp:lastPrinted>2023-01-16T14:35:11Z</cp:lastPrinted>
  <dcterms:created xsi:type="dcterms:W3CDTF">2022-04-07T14:57:19Z</dcterms:created>
  <dcterms:modified xsi:type="dcterms:W3CDTF">2026-07-15T12:33:33Z</dcterms:modified>
</cp:coreProperties>
</file>